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ekodev.sharepoint.com/Documents partages/Clients - Prospects/f/FNCCR/Projet calculateur carbone/"/>
    </mc:Choice>
  </mc:AlternateContent>
  <xr:revisionPtr revIDLastSave="3225" documentId="8_{0009E8DB-747B-4437-98BF-32C9715A559B}" xr6:coauthVersionLast="47" xr6:coauthVersionMax="47" xr10:uidLastSave="{99C67FF5-02EE-4046-A766-4D5E928F5AB4}"/>
  <bookViews>
    <workbookView xWindow="-28920" yWindow="-120" windowWidth="29040" windowHeight="15720" xr2:uid="{00000000-000D-0000-FFFF-FFFF00000000}"/>
  </bookViews>
  <sheets>
    <sheet name="Lisez-moi" sheetId="1" r:id="rId1"/>
    <sheet name="Mât" sheetId="2" r:id="rId2"/>
    <sheet name="Luminaire" sheetId="8" r:id="rId3"/>
    <sheet name="Photovoltaïque" sheetId="9" r:id="rId4"/>
    <sheet name="Résultats" sheetId="5" r:id="rId5"/>
    <sheet name="Calculs" sheetId="6" state="hidden" r:id="rId6"/>
    <sheet name="FE et Ratios" sheetId="10" state="hidden" r:id="rId7"/>
    <sheet name="Listes" sheetId="7" state="hidden" r:id="rId8"/>
  </sheets>
  <definedNames>
    <definedName name="Plastique">Listes!$F$5:$F$10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0" l="1"/>
  <c r="E60" i="10"/>
  <c r="F16" i="9"/>
  <c r="E82" i="10"/>
  <c r="E81" i="10"/>
  <c r="J30" i="6" a="1"/>
  <c r="J30" i="6" s="1"/>
  <c r="J29" i="6" a="1"/>
  <c r="J29" i="6" s="1"/>
  <c r="E80" i="10"/>
  <c r="J24" i="6" a="1"/>
  <c r="J24" i="6" s="1"/>
  <c r="J18" i="6" a="1"/>
  <c r="J18" i="6" s="1"/>
  <c r="J13" i="6" a="1"/>
  <c r="J13" i="6" s="1"/>
  <c r="J8" i="6" a="1"/>
  <c r="J8" i="6" s="1"/>
  <c r="E79" i="10"/>
  <c r="L30" i="6" l="1"/>
  <c r="K30" i="6"/>
  <c r="K29" i="6"/>
  <c r="L29" i="6"/>
  <c r="L24" i="6"/>
  <c r="K24" i="6"/>
  <c r="L18" i="6"/>
  <c r="K18" i="6"/>
  <c r="L13" i="6"/>
  <c r="K13" i="6"/>
  <c r="L8" i="6"/>
  <c r="K8" i="6"/>
  <c r="N55" i="5" l="1"/>
  <c r="N54" i="5"/>
  <c r="I43" i="6"/>
  <c r="E43" i="6"/>
  <c r="H43" i="6" s="1"/>
  <c r="E77" i="10"/>
  <c r="C8" i="10"/>
  <c r="E78" i="10" s="1"/>
  <c r="N56" i="5" l="1"/>
  <c r="N60" i="5" s="1"/>
  <c r="N59" i="5" l="1"/>
  <c r="G76" i="10"/>
  <c r="E76" i="10" s="1"/>
  <c r="I41" i="6"/>
  <c r="I39" i="6"/>
  <c r="E41" i="6"/>
  <c r="J41" i="6" s="1" a="1"/>
  <c r="J41" i="6" s="1"/>
  <c r="E68" i="10"/>
  <c r="E69" i="10"/>
  <c r="E70" i="10"/>
  <c r="E71" i="10"/>
  <c r="E72" i="10"/>
  <c r="E73" i="10"/>
  <c r="E74" i="10"/>
  <c r="E75" i="10"/>
  <c r="E67" i="10"/>
  <c r="E35" i="6"/>
  <c r="E34" i="6"/>
  <c r="E33" i="6"/>
  <c r="E39" i="6"/>
  <c r="G66" i="10"/>
  <c r="E66" i="10" s="1"/>
  <c r="E62" i="10"/>
  <c r="E63" i="10"/>
  <c r="E64" i="10"/>
  <c r="E65" i="10"/>
  <c r="E59" i="10"/>
  <c r="I35" i="6"/>
  <c r="C7" i="10"/>
  <c r="E58" i="10" s="1"/>
  <c r="E57" i="10"/>
  <c r="I34" i="6"/>
  <c r="H34" i="6"/>
  <c r="I33" i="6"/>
  <c r="H33" i="6"/>
  <c r="E56" i="10"/>
  <c r="J43" i="6" a="1"/>
  <c r="J43" i="6" s="1"/>
  <c r="J31" i="6" a="1"/>
  <c r="J31" i="6" s="1"/>
  <c r="J25" i="6" a="1"/>
  <c r="J25" i="6" s="1"/>
  <c r="J19" i="6" a="1"/>
  <c r="J19" i="6" s="1"/>
  <c r="J14" i="6" a="1"/>
  <c r="J14" i="6" s="1"/>
  <c r="J9" i="6" a="1"/>
  <c r="J9" i="6" s="1"/>
  <c r="E27" i="6"/>
  <c r="E54" i="10"/>
  <c r="E55" i="10"/>
  <c r="E22" i="6"/>
  <c r="H24" i="6" s="1"/>
  <c r="E52" i="10"/>
  <c r="E53" i="10"/>
  <c r="E35" i="10"/>
  <c r="H29" i="6" l="1"/>
  <c r="N29" i="6" s="1"/>
  <c r="H30" i="6"/>
  <c r="H27" i="6"/>
  <c r="H25" i="6"/>
  <c r="E46" i="6"/>
  <c r="E47" i="6"/>
  <c r="H39" i="6"/>
  <c r="J33" i="6" a="1"/>
  <c r="J33" i="6" s="1"/>
  <c r="L33" i="6" s="1"/>
  <c r="J34" i="6" a="1"/>
  <c r="J34" i="6" s="1"/>
  <c r="L34" i="6" s="1"/>
  <c r="H41" i="6"/>
  <c r="J39" i="6" a="1"/>
  <c r="J39" i="6" s="1"/>
  <c r="L39" i="6" s="1"/>
  <c r="J35" i="6" a="1"/>
  <c r="J35" i="6" s="1"/>
  <c r="L35" i="6" s="1"/>
  <c r="H35" i="6"/>
  <c r="H31" i="6"/>
  <c r="F27" i="6"/>
  <c r="G27" i="6"/>
  <c r="F22" i="6"/>
  <c r="G22" i="6"/>
  <c r="H22" i="6"/>
  <c r="L43" i="6"/>
  <c r="K43" i="6"/>
  <c r="N43" i="6" s="1"/>
  <c r="N43" i="5" s="1"/>
  <c r="L31" i="6"/>
  <c r="K31" i="6"/>
  <c r="L19" i="6"/>
  <c r="K19" i="6"/>
  <c r="L14" i="6"/>
  <c r="K14" i="6"/>
  <c r="L9" i="6"/>
  <c r="K9" i="6"/>
  <c r="N24" i="6" l="1"/>
  <c r="J22" i="6" a="1"/>
  <c r="J22" i="6" s="1"/>
  <c r="K22" i="6" s="1"/>
  <c r="I47" i="6"/>
  <c r="H47" i="6" s="1"/>
  <c r="G47" i="6"/>
  <c r="J47" i="6" s="1" a="1"/>
  <c r="J47" i="6" s="1"/>
  <c r="G46" i="6"/>
  <c r="J46" i="6" s="1" a="1"/>
  <c r="J46" i="6" s="1"/>
  <c r="I46" i="6"/>
  <c r="H46" i="6" s="1"/>
  <c r="K33" i="6"/>
  <c r="N33" i="6" s="1"/>
  <c r="K34" i="6"/>
  <c r="N34" i="6" s="1"/>
  <c r="L41" i="6"/>
  <c r="K41" i="6"/>
  <c r="N41" i="6" s="1"/>
  <c r="N42" i="5" s="1"/>
  <c r="K39" i="6"/>
  <c r="N39" i="6" s="1"/>
  <c r="K35" i="6"/>
  <c r="N35" i="6" s="1"/>
  <c r="E28" i="6"/>
  <c r="J27" i="6" a="1"/>
  <c r="J27" i="6" s="1"/>
  <c r="L27" i="6" s="1"/>
  <c r="I27" i="6"/>
  <c r="I22" i="6"/>
  <c r="E23" i="6"/>
  <c r="H28" i="6" l="1"/>
  <c r="N30" i="6" s="1"/>
  <c r="L22" i="6"/>
  <c r="C23" i="5"/>
  <c r="N41" i="5"/>
  <c r="L47" i="6"/>
  <c r="K47" i="6"/>
  <c r="N47" i="6" s="1"/>
  <c r="C55" i="5" s="1"/>
  <c r="L46" i="6"/>
  <c r="K46" i="6"/>
  <c r="N46" i="6" s="1"/>
  <c r="F28" i="6"/>
  <c r="I28" i="6"/>
  <c r="G28" i="6"/>
  <c r="N22" i="6"/>
  <c r="L25" i="6"/>
  <c r="K25" i="6"/>
  <c r="I23" i="6"/>
  <c r="F23" i="6"/>
  <c r="G23" i="6"/>
  <c r="H23" i="6"/>
  <c r="J23" i="6" l="1" a="1"/>
  <c r="J23" i="6" s="1"/>
  <c r="L23" i="6" s="1"/>
  <c r="J28" i="6" a="1"/>
  <c r="J28" i="6" s="1"/>
  <c r="L28" i="6" s="1"/>
  <c r="O55" i="5"/>
  <c r="C8" i="5"/>
  <c r="C54" i="5"/>
  <c r="N44" i="5"/>
  <c r="O41" i="5" s="1"/>
  <c r="K23" i="6" l="1"/>
  <c r="N23" i="6" s="1"/>
  <c r="N25" i="6" s="1"/>
  <c r="O43" i="5"/>
  <c r="O42" i="5"/>
  <c r="C56" i="5"/>
  <c r="D55" i="5" s="1"/>
  <c r="O54" i="5"/>
  <c r="E50" i="10"/>
  <c r="K27" i="6" s="1"/>
  <c r="N27" i="6" s="1"/>
  <c r="E51" i="10"/>
  <c r="K28" i="6" s="1"/>
  <c r="N28" i="6" s="1"/>
  <c r="E43" i="10"/>
  <c r="E44" i="10"/>
  <c r="E45" i="10"/>
  <c r="E46" i="10"/>
  <c r="E47" i="10"/>
  <c r="E48" i="10"/>
  <c r="E49" i="10"/>
  <c r="E41" i="10"/>
  <c r="E42" i="10"/>
  <c r="E17" i="6"/>
  <c r="E16" i="6"/>
  <c r="H18" i="6" s="1"/>
  <c r="E11" i="6"/>
  <c r="H13" i="6" s="1"/>
  <c r="E6" i="6"/>
  <c r="E38" i="10"/>
  <c r="E40" i="10"/>
  <c r="E39" i="10"/>
  <c r="E32" i="10"/>
  <c r="E34" i="10" s="1"/>
  <c r="E36" i="10"/>
  <c r="E37" i="10"/>
  <c r="E31" i="10"/>
  <c r="E33" i="10" s="1"/>
  <c r="N31" i="5" l="1"/>
  <c r="N31" i="6"/>
  <c r="N32" i="5" s="1"/>
  <c r="O56" i="5"/>
  <c r="O60" i="5" s="1"/>
  <c r="D54" i="5"/>
  <c r="H11" i="6"/>
  <c r="I16" i="6"/>
  <c r="I6" i="6"/>
  <c r="G17" i="6"/>
  <c r="J17" i="6" s="1" a="1"/>
  <c r="J17" i="6" s="1"/>
  <c r="H19" i="6"/>
  <c r="H17" i="6"/>
  <c r="H16" i="6"/>
  <c r="G16" i="6"/>
  <c r="J16" i="6" s="1" a="1"/>
  <c r="J16" i="6" s="1"/>
  <c r="I17" i="6"/>
  <c r="E12" i="6"/>
  <c r="H14" i="6"/>
  <c r="I11" i="6"/>
  <c r="G11" i="6"/>
  <c r="J11" i="6" s="1" a="1"/>
  <c r="J11" i="6" s="1"/>
  <c r="G6" i="6"/>
  <c r="J6" i="6" s="1" a="1"/>
  <c r="J6" i="6" s="1"/>
  <c r="H6" i="6"/>
  <c r="H8" i="6" s="1"/>
  <c r="H9" i="6"/>
  <c r="E7" i="6"/>
  <c r="N18" i="6" l="1"/>
  <c r="O59" i="5"/>
  <c r="L17" i="6"/>
  <c r="K17" i="6"/>
  <c r="N17" i="6" s="1"/>
  <c r="L16" i="6"/>
  <c r="K16" i="6"/>
  <c r="N16" i="6" s="1"/>
  <c r="L11" i="6"/>
  <c r="K11" i="6"/>
  <c r="N11" i="6" s="1"/>
  <c r="K6" i="6"/>
  <c r="N6" i="6" s="1"/>
  <c r="L6" i="6"/>
  <c r="I7" i="6"/>
  <c r="H12" i="6"/>
  <c r="N13" i="6" s="1"/>
  <c r="I12" i="6"/>
  <c r="G12" i="6"/>
  <c r="J12" i="6" s="1" a="1"/>
  <c r="J12" i="6" s="1"/>
  <c r="H7" i="6"/>
  <c r="N8" i="6" s="1"/>
  <c r="G7" i="6"/>
  <c r="J7" i="6" s="1" a="1"/>
  <c r="J7" i="6" s="1"/>
  <c r="L7" i="6" l="1"/>
  <c r="K7" i="6"/>
  <c r="N7" i="6" s="1"/>
  <c r="N9" i="6" s="1"/>
  <c r="K12" i="6"/>
  <c r="N12" i="6" s="1"/>
  <c r="N14" i="6" s="1"/>
  <c r="L12" i="6"/>
  <c r="N19" i="6"/>
  <c r="N23" i="5" s="1"/>
  <c r="N22" i="5" l="1"/>
  <c r="C21" i="5"/>
  <c r="N21" i="5"/>
  <c r="E4" i="8"/>
  <c r="N24" i="5" l="1"/>
  <c r="O21" i="5" s="1"/>
  <c r="I36" i="6"/>
  <c r="H36" i="6"/>
  <c r="E36" i="6"/>
  <c r="J36" i="6" s="1" a="1"/>
  <c r="J36" i="6" s="1"/>
  <c r="L36" i="6" s="1"/>
  <c r="O22" i="5" l="1"/>
  <c r="O23" i="5"/>
  <c r="K36" i="6"/>
  <c r="N36" i="6" s="1"/>
  <c r="N33" i="5" l="1"/>
  <c r="C22" i="5"/>
  <c r="C7" i="5"/>
  <c r="C9" i="5" l="1"/>
  <c r="D8" i="5" s="1"/>
  <c r="C24" i="5"/>
  <c r="N34" i="5"/>
  <c r="O33" i="5" s="1"/>
  <c r="D7" i="5" l="1"/>
  <c r="D21" i="5"/>
  <c r="D23" i="5"/>
  <c r="D22" i="5"/>
  <c r="O31" i="5"/>
  <c r="O3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<sst xmlns="http://schemas.openxmlformats.org/spreadsheetml/2006/main" count="747" uniqueCount="254">
  <si>
    <t>Mât</t>
  </si>
  <si>
    <t>Acier</t>
  </si>
  <si>
    <t>Fonte</t>
  </si>
  <si>
    <t>Batterie</t>
  </si>
  <si>
    <t>Verre</t>
  </si>
  <si>
    <t>Plastique</t>
  </si>
  <si>
    <t>Contrôleur de charge</t>
  </si>
  <si>
    <t>Ce calculateur carbone a été réalisé par ekodev pour le compte de la Fédération nationale des collectivités concédantes et régies (FNCCR).</t>
  </si>
  <si>
    <t>• Mât</t>
  </si>
  <si>
    <t>• Luminaire</t>
  </si>
  <si>
    <t>• Photovoltaïque</t>
  </si>
  <si>
    <t>Organisation des onglets</t>
  </si>
  <si>
    <t>Lisez-moi</t>
  </si>
  <si>
    <t>Luminaire</t>
  </si>
  <si>
    <t>Photovoltaïque</t>
  </si>
  <si>
    <t>Durée de vie du projet :</t>
  </si>
  <si>
    <t>Le présent onglet indique les objectifs de l'outil et l'organisation du fichier. La durée de vie du projet est à renseigner dans la cellule prévue à cet effet (C9). Par défaut, une durée de vie de 30 ans est considérée.</t>
  </si>
  <si>
    <t>Il vise à donner une estimation de l'impact carbone d'une solution de luminaire, en fonction des paramètres renseignés dans l'un des 3 onglets techniques :</t>
  </si>
  <si>
    <t>CALCULATEUR D'IMPACT CARBONE 
POUR LES LUMINAIRES D'ÉCLAIRAGE URBAIN</t>
  </si>
  <si>
    <t>MÂT</t>
  </si>
  <si>
    <t>1. MÂT</t>
  </si>
  <si>
    <t>Matière :</t>
  </si>
  <si>
    <t>Masse (kg) :</t>
  </si>
  <si>
    <t>Taux de perte de production (%) :</t>
  </si>
  <si>
    <t>Aluminium</t>
  </si>
  <si>
    <t>2. CROSSE</t>
  </si>
  <si>
    <t>3. TIGES DE SCELLEMENT</t>
  </si>
  <si>
    <t>LUMINAIRE</t>
  </si>
  <si>
    <t>Matériaux Mât</t>
  </si>
  <si>
    <t>Type Plastique luminaire</t>
  </si>
  <si>
    <t>PET</t>
  </si>
  <si>
    <t>PEHD</t>
  </si>
  <si>
    <t>PVC</t>
  </si>
  <si>
    <t>PP</t>
  </si>
  <si>
    <t>PHOTOVOLTAïQUE</t>
  </si>
  <si>
    <t>1. BATTERIE</t>
  </si>
  <si>
    <t>2. PANNEAU PHOTOVOLTAÏQUE</t>
  </si>
  <si>
    <t>Type :</t>
  </si>
  <si>
    <t>Type Batterie</t>
  </si>
  <si>
    <t>Type Panneau</t>
  </si>
  <si>
    <t>1. VASQUE</t>
  </si>
  <si>
    <t>Bois</t>
  </si>
  <si>
    <t>3. ÉLECTRONIQUE</t>
  </si>
  <si>
    <t>2. CARCASSE / ENVELOPPE</t>
  </si>
  <si>
    <t>PEBD</t>
  </si>
  <si>
    <t>Matériaux Luminaire - Vasque</t>
  </si>
  <si>
    <t>Matériaux Luminaire Carcasse</t>
  </si>
  <si>
    <t>Cuivre</t>
  </si>
  <si>
    <t>Li-ion - NMC111 (Lithium Nickel-Manganèse-Cobalt)</t>
  </si>
  <si>
    <t>Li-ion - NMC811 (Lithium Nickel-Manganèse-Cobalt)</t>
  </si>
  <si>
    <t>NiMH (Nickel-hydrure métallique)</t>
  </si>
  <si>
    <t>Li-ion - NCA (Lithium Nickel-Cobalt-Aluminium)</t>
  </si>
  <si>
    <t>NaCl (Sodium-ion)</t>
  </si>
  <si>
    <t>Silicium cristallin - Ribbon (ribbon-Si)</t>
  </si>
  <si>
    <t>Silicium cristallin - Polycristallin (multi-Si)</t>
  </si>
  <si>
    <t>Couche mince photovoltaïque - Silicium amorphe (a-Si)</t>
  </si>
  <si>
    <t>Couche mince photovoltaïque - Tellurure de cadmium (CdTe)</t>
  </si>
  <si>
    <t>Couche mince photovoltaïque - Cuivre - Indium - Sélénium (CIS)</t>
  </si>
  <si>
    <t>Silicium cristallin - Monocristallin (mono-Si)</t>
  </si>
  <si>
    <t>Couche mince photovoltaïque - Silicium polycristallin sur verre (multi-Si)</t>
  </si>
  <si>
    <t>Couche mince photovoltaïque - Silicium monocristallin sur verre (mono-Si)</t>
  </si>
  <si>
    <t>Couche mince photovoltaïque - Ribbon sur verre (ribbon-Si)</t>
  </si>
  <si>
    <t>Contrôleur de charge [30A]</t>
  </si>
  <si>
    <t>Durée d'utilisation par an à pleine puissance :</t>
  </si>
  <si>
    <t>Durée d'utilisation par an à puissance réduite :</t>
  </si>
  <si>
    <t>Coefficient de réduction de puissance :</t>
  </si>
  <si>
    <t>4. UTILISATION</t>
  </si>
  <si>
    <t>HYPOTHÈSES ET FACTEURS D'ÉMISSION</t>
  </si>
  <si>
    <t>1. HYPOTHÈSES ET RATIOS</t>
  </si>
  <si>
    <t>2. FACTEURS D'ÉMISSION</t>
  </si>
  <si>
    <t>Nom</t>
  </si>
  <si>
    <t>Valeur</t>
  </si>
  <si>
    <t>Unité</t>
  </si>
  <si>
    <t>Source</t>
  </si>
  <si>
    <t>Matériaux Crosse</t>
  </si>
  <si>
    <t>Matériaux Tige de scellement</t>
  </si>
  <si>
    <t>LISTES DÉROULANTES</t>
  </si>
  <si>
    <t>RÉSULTATS</t>
  </si>
  <si>
    <t>CALCULS</t>
  </si>
  <si>
    <r>
      <t>kgCO</t>
    </r>
    <r>
      <rPr>
        <vertAlign val="subscript"/>
        <sz val="11"/>
        <color theme="1"/>
        <rFont val="Dubai Light"/>
        <family val="2"/>
        <scheme val="minor"/>
      </rPr>
      <t>2</t>
    </r>
    <r>
      <rPr>
        <sz val="11"/>
        <color theme="1"/>
        <rFont val="Dubai Light"/>
        <family val="2"/>
        <scheme val="minor"/>
      </rPr>
      <t>e/tonne</t>
    </r>
  </si>
  <si>
    <t>Acier ou fer blanc, neuf, France continentale, Base Carbone v23.2</t>
  </si>
  <si>
    <t>Acier ou fer blanc, recyclé, France continentale, Base Carbone v23.2</t>
  </si>
  <si>
    <t>Aluminium, neuf, France continentale, Base Carbone v23.2</t>
  </si>
  <si>
    <t>Aluminium, recyclé, France continentale, Base Carbone v23.2</t>
  </si>
  <si>
    <t>Bois d'oeuvre (construction), fabrication, France continentale, Base Carbone v23.2</t>
  </si>
  <si>
    <t>Catégorie</t>
  </si>
  <si>
    <t>Sous-catégorie</t>
  </si>
  <si>
    <t>Matériaux</t>
  </si>
  <si>
    <t>DONNÉES D'ENTRÉE</t>
  </si>
  <si>
    <t>FACTEUR D'ÉMISSION</t>
  </si>
  <si>
    <t>CATÉGORISATIONS / FILTRES</t>
  </si>
  <si>
    <t>RÉSULTAT</t>
  </si>
  <si>
    <t>Tag</t>
  </si>
  <si>
    <t>neuf</t>
  </si>
  <si>
    <t>recyclé</t>
  </si>
  <si>
    <t>FACTEURS D'ÉMISSION SOURCE</t>
  </si>
  <si>
    <t>FACTEUR D'ÉMISSION RETRAVAILLÉ</t>
  </si>
  <si>
    <r>
      <t>kgCO</t>
    </r>
    <r>
      <rPr>
        <vertAlign val="subscript"/>
        <sz val="11"/>
        <color theme="1"/>
        <rFont val="Dubai Light"/>
        <family val="2"/>
        <scheme val="minor"/>
      </rPr>
      <t>2</t>
    </r>
    <r>
      <rPr>
        <sz val="11"/>
        <color theme="1"/>
        <rFont val="Dubai Light"/>
        <family val="2"/>
        <scheme val="minor"/>
      </rPr>
      <t>e/kg</t>
    </r>
  </si>
  <si>
    <t>Part</t>
  </si>
  <si>
    <t>/</t>
  </si>
  <si>
    <r>
      <t>kgCO</t>
    </r>
    <r>
      <rPr>
        <b/>
        <vertAlign val="subscript"/>
        <sz val="11"/>
        <color theme="1"/>
        <rFont val="Dubai"/>
        <family val="2"/>
        <scheme val="major"/>
      </rPr>
      <t>2</t>
    </r>
    <r>
      <rPr>
        <b/>
        <sz val="11"/>
        <color theme="1"/>
        <rFont val="Dubai"/>
        <family val="2"/>
        <scheme val="major"/>
      </rPr>
      <t>e</t>
    </r>
  </si>
  <si>
    <t>Crosse</t>
  </si>
  <si>
    <t>Tiges de scellement</t>
  </si>
  <si>
    <t>Vasque</t>
  </si>
  <si>
    <t>Carcasse / Enveloppe</t>
  </si>
  <si>
    <t>Électronique</t>
  </si>
  <si>
    <t>Panneau photovoltaïque</t>
  </si>
  <si>
    <t>ID_ekodev</t>
  </si>
  <si>
    <t>Plastique, PEBD, neuf, France continentale, Base Carbone v23.2</t>
  </si>
  <si>
    <t>Plastique, PEBD, recyclé, France continentale, Base Carbone v23.2</t>
  </si>
  <si>
    <t>Plastique, PEHD, neuf, France continentale, Base Carbone v23.2</t>
  </si>
  <si>
    <t>Plastique, PEHD, recyclé, France continentale, Base Carbone v23.2</t>
  </si>
  <si>
    <t>Plastique, PET, neuf, France continentale, Base Carbone v23.2</t>
  </si>
  <si>
    <t>Plastique, PET, recyclé, France continentale, Base Carbone v23.2</t>
  </si>
  <si>
    <t>Plastique, PVC, neuf, France continentale, Base Carbone v23.2</t>
  </si>
  <si>
    <t>Plastique, PVC, recyclé, France continentale, Base Carbone v23.2</t>
  </si>
  <si>
    <t>Autre ou inconnu</t>
  </si>
  <si>
    <t>PP - polypropylène, France continentale, Base Carbone v23.2</t>
  </si>
  <si>
    <t>Plastique, moyenne, neuf, France continentale, Base Carbone v23.2</t>
  </si>
  <si>
    <t>Plastique, moyenne, recyclé, France continentale, Base Carbone v23.2</t>
  </si>
  <si>
    <t>Type</t>
  </si>
  <si>
    <t>Galvanisation de tôle d'acier, Monde, Base IMPACTS v3.0</t>
  </si>
  <si>
    <t>Galvanisation d'une tôle d'acier</t>
  </si>
  <si>
    <t>Acier galvanisé</t>
  </si>
  <si>
    <t>Acier ou fer blanc, neuf, France continentale, Base Carbone v23.2 et Galvanisation de tôle d'acier, Monde, Base IMPACTS v3.0</t>
  </si>
  <si>
    <t>Acier ou fer blanc, recyclé, France continentale, Base Carbone v23.2 et Galvanisation de tôle d'acier, Monde, Base IMPACTS v3.0</t>
  </si>
  <si>
    <t>Verre, neuf, France continentale, Base Carbone v23.2</t>
  </si>
  <si>
    <t>Verre, recyclé, France continentale, Base Carbone v23.2</t>
  </si>
  <si>
    <t>Cuivre, neuf, France continentale, Base Carbone v23.2</t>
  </si>
  <si>
    <t>Cuivre, recyclé, France continentale, Base Carbone v23.2</t>
  </si>
  <si>
    <t>Driver</t>
  </si>
  <si>
    <t xml:space="preserve">Durée de vie d'un driver : </t>
  </si>
  <si>
    <t xml:space="preserve">Durée de vie d'une diode : </t>
  </si>
  <si>
    <t>LED</t>
  </si>
  <si>
    <r>
      <t>kgCO</t>
    </r>
    <r>
      <rPr>
        <vertAlign val="subscript"/>
        <sz val="11"/>
        <color theme="1"/>
        <rFont val="Dubai Light"/>
        <family val="2"/>
        <scheme val="minor"/>
      </rPr>
      <t>2</t>
    </r>
    <r>
      <rPr>
        <sz val="11"/>
        <color theme="1"/>
        <rFont val="Dubai Light"/>
        <family val="2"/>
        <scheme val="minor"/>
      </rPr>
      <t>e/LED</t>
    </r>
  </si>
  <si>
    <t>Masse moyenne d'une LED :</t>
  </si>
  <si>
    <t>Durée de vie des circuits imprimés :</t>
  </si>
  <si>
    <t>Circuits imprimés</t>
  </si>
  <si>
    <t>Masse surfacique moyenne des circuits imprimés :</t>
  </si>
  <si>
    <t>Circuits imprimés, alimentation electrique, procédé porte à porte, Monde, Base Carbone v23.2</t>
  </si>
  <si>
    <r>
      <t>kgCO</t>
    </r>
    <r>
      <rPr>
        <vertAlign val="subscript"/>
        <sz val="11"/>
        <color theme="1"/>
        <rFont val="Dubai Light"/>
        <family val="2"/>
        <scheme val="minor"/>
      </rPr>
      <t>2</t>
    </r>
    <r>
      <rPr>
        <sz val="11"/>
        <color theme="1"/>
        <rFont val="Dubai Light"/>
        <family val="2"/>
        <scheme val="minor"/>
      </rPr>
      <t>e/m²</t>
    </r>
  </si>
  <si>
    <t>Durée de vie des câbles internes :</t>
  </si>
  <si>
    <t>Câble électrique interne, alimentation, conducteur cuivre, isolation PE, Monde, Base Carbone v23.2</t>
  </si>
  <si>
    <r>
      <t>kgCO</t>
    </r>
    <r>
      <rPr>
        <vertAlign val="subscript"/>
        <sz val="11"/>
        <color theme="1"/>
        <rFont val="Dubai Light"/>
        <family val="2"/>
        <scheme val="minor"/>
      </rPr>
      <t>2</t>
    </r>
    <r>
      <rPr>
        <sz val="11"/>
        <color theme="1"/>
        <rFont val="Dubai Light"/>
        <family val="2"/>
        <scheme val="minor"/>
      </rPr>
      <t>e/m</t>
    </r>
  </si>
  <si>
    <t>Câble interne</t>
  </si>
  <si>
    <t>market for light emitting diode, Monde, ecoinvent 3.8</t>
  </si>
  <si>
    <t>market for electronics, for control units, Monde, ecoinvent 3.8</t>
  </si>
  <si>
    <r>
      <t>Impact carbone (en kgCO</t>
    </r>
    <r>
      <rPr>
        <b/>
        <vertAlign val="subscript"/>
        <sz val="11"/>
        <rFont val="Dubai"/>
        <family val="2"/>
        <scheme val="major"/>
      </rPr>
      <t>2</t>
    </r>
    <r>
      <rPr>
        <b/>
        <sz val="11"/>
        <rFont val="Dubai"/>
        <family val="2"/>
        <scheme val="major"/>
      </rPr>
      <t>e)</t>
    </r>
  </si>
  <si>
    <t>Saisir l'impact carbone de la fabrication</t>
  </si>
  <si>
    <t>Durée de vie de la batterie :</t>
  </si>
  <si>
    <t>market for multi-Si wafer, ribbon</t>
  </si>
  <si>
    <t>market for single-Si wafer, photovoltaic</t>
  </si>
  <si>
    <t>market for photovoltaic cell, single-Si wafer</t>
  </si>
  <si>
    <t>market for photovoltaic laminate, a-Si</t>
  </si>
  <si>
    <t>photovoltaic laminate, CdTe</t>
  </si>
  <si>
    <t>market for photovoltaic laminate, CIS</t>
  </si>
  <si>
    <t>photovoltaic laminate, multi-Si wafer</t>
  </si>
  <si>
    <t>market for photovoltaic laminate, single-Si wafer</t>
  </si>
  <si>
    <t>market for photovoltaic laminate, ribbon-Si</t>
  </si>
  <si>
    <t>Durée de vie du panneau photovoltaïque :</t>
  </si>
  <si>
    <t>Moyenne des panneaux photovoltaïques disponibles sur ecoinvent, ecoinvent 3.8 et ekodev</t>
  </si>
  <si>
    <t>Autre batterie ou batterie inconnue (donnée ACV indisponible)</t>
  </si>
  <si>
    <t>Autre panneau ou panneau inconnu (donnée ACV indisponible)</t>
  </si>
  <si>
    <t>Controleur de charge [30A] - DONNEE ENVIRONNEMENTALE PAR DEFAUT (v.1.2), France continentale, Inies</t>
  </si>
  <si>
    <r>
      <t>kgCO</t>
    </r>
    <r>
      <rPr>
        <vertAlign val="subscript"/>
        <sz val="11"/>
        <color theme="1"/>
        <rFont val="Dubai Light"/>
        <family val="2"/>
        <scheme val="minor"/>
      </rPr>
      <t>2</t>
    </r>
    <r>
      <rPr>
        <sz val="11"/>
        <color theme="1"/>
        <rFont val="Dubai Light"/>
        <family val="2"/>
        <scheme val="minor"/>
      </rPr>
      <t>e/unité</t>
    </r>
  </si>
  <si>
    <t xml:space="preserve">Durée de vie du contrôleur de charge : </t>
  </si>
  <si>
    <t>Masse moyenne d'un contrôleur de charge (Source : INIES) :</t>
  </si>
  <si>
    <t>Autre contrôleur de charge</t>
  </si>
  <si>
    <t>Controleur de charge [30A] - DONNEE ENVIRONNEMENTALE PAR DEFAUT (v.1.2), France continentale, Inies et ekodev</t>
  </si>
  <si>
    <t>Utilisation</t>
  </si>
  <si>
    <t>Électricité</t>
  </si>
  <si>
    <t>Mix réseau</t>
  </si>
  <si>
    <r>
      <t>kgCO</t>
    </r>
    <r>
      <rPr>
        <vertAlign val="subscript"/>
        <sz val="11"/>
        <color theme="1"/>
        <rFont val="Dubai Light"/>
        <family val="2"/>
        <scheme val="minor"/>
      </rPr>
      <t>2</t>
    </r>
    <r>
      <rPr>
        <sz val="11"/>
        <color theme="1"/>
        <rFont val="Dubai Light"/>
        <family val="2"/>
        <scheme val="minor"/>
      </rPr>
      <t>e/kWh</t>
    </r>
  </si>
  <si>
    <t>Electricité, 2022 - mix moyen, consommation, France continentale, Base Carbone v23.2</t>
  </si>
  <si>
    <t>Mix électrique national (France)</t>
  </si>
  <si>
    <t>Pleine puissance</t>
  </si>
  <si>
    <t>Puissance réduite</t>
  </si>
  <si>
    <t xml:space="preserve">Puissance par diode : </t>
  </si>
  <si>
    <t>Si la donnée n'est pas renseignée, alors les hypothèses suivantes sont appliquées :</t>
  </si>
  <si>
    <t>Total</t>
  </si>
  <si>
    <r>
      <t>Impact Carbone
(en tCO</t>
    </r>
    <r>
      <rPr>
        <b/>
        <vertAlign val="subscript"/>
        <sz val="11"/>
        <color theme="1"/>
        <rFont val="Dubai"/>
        <family val="2"/>
        <scheme val="major"/>
      </rPr>
      <t>2</t>
    </r>
    <r>
      <rPr>
        <b/>
        <sz val="11"/>
        <color theme="1"/>
        <rFont val="Dubai"/>
        <family val="2"/>
        <scheme val="major"/>
      </rPr>
      <t>e)</t>
    </r>
  </si>
  <si>
    <t>Répartition
(en %)</t>
  </si>
  <si>
    <t>RÉSULTATS GLOBAUX</t>
  </si>
  <si>
    <t>RÉSULTATS DÉTAILLÉS</t>
  </si>
  <si>
    <t>MATÉRIAUX</t>
  </si>
  <si>
    <r>
      <t>Impact Carbone (en tCO</t>
    </r>
    <r>
      <rPr>
        <b/>
        <vertAlign val="subscript"/>
        <sz val="11"/>
        <color theme="1"/>
        <rFont val="Dubai"/>
        <family val="2"/>
        <scheme val="major"/>
      </rPr>
      <t>2</t>
    </r>
    <r>
      <rPr>
        <b/>
        <sz val="11"/>
        <color theme="1"/>
        <rFont val="Dubai"/>
        <family val="2"/>
        <scheme val="major"/>
      </rPr>
      <t>e)</t>
    </r>
  </si>
  <si>
    <t>UTILISATION</t>
  </si>
  <si>
    <t>Électricité (pleine puissance)</t>
  </si>
  <si>
    <t>Électricité (puissance réduite)</t>
  </si>
  <si>
    <t>Durée de consommation d'électricité (en h)</t>
  </si>
  <si>
    <t>Résultats</t>
  </si>
  <si>
    <t>L'onglet "Résultats" regroupe des graphiques et tableaux relatifs à l'impact carbone estimé à partir des informations techniques reccueillies et des calculs effectués.</t>
  </si>
  <si>
    <t>Calculs</t>
  </si>
  <si>
    <t>FE et Ratios</t>
  </si>
  <si>
    <t>Listes</t>
  </si>
  <si>
    <t>L'onglet "Calculs" effectue les calculs d'émissions de GES, à partir des informations techniques recueillies, et de facteurs d'émission / hypothèses. Cet onglet fournit les résultats affichés dans l'onglet "Résultats".</t>
  </si>
  <si>
    <t>L'onglet "FE et Ratios" contient l'ensemble des hypothèses et facteurs d'émission utilisés pour réaliser les calculs d'émissions de GES.</t>
  </si>
  <si>
    <t>L'onglet "Listes" est un onglet de paramétrage pour régler les listes déroulantes des onglets de collecte de données.</t>
  </si>
  <si>
    <t>L'onglet "Mât" recueille les informations techniques relatives au mât, pour estimer l'impact carbone lié à la fabrication de ce dernier.</t>
  </si>
  <si>
    <t>L'onglet "Luminaire" recueille les informations techniques relatives au luminaire, pour estimer l'impact carbone de la fabrication et de l'utilisation ce dernier.</t>
  </si>
  <si>
    <t>L'onglet "Photovoltaïque" recueille les informations techniques relatives aux éléments spécifiques des luminaires photovoltaïque, pour estimer l'impact carbone de la fabrication de ces derniers.</t>
  </si>
  <si>
    <t>Consommation d'électricité par kg de métal pour l'usinage</t>
  </si>
  <si>
    <t>Consommation d'électricité par kg de verre ou plastique pour l'usinage</t>
  </si>
  <si>
    <t>Consommation d'électricité pour l'usinage :</t>
  </si>
  <si>
    <t>Consommation d'électricité pour l'usinage des métaux</t>
  </si>
  <si>
    <t>Consommation d'électricité pour l'usinage du verre ou des plastiques</t>
  </si>
  <si>
    <t>Electricité - Projection selon scénarios RTE = PACTE Industrie retenu, consommation, France continentale, RTE et ekodev</t>
  </si>
  <si>
    <t>kWh</t>
  </si>
  <si>
    <t>Remplissage des données</t>
  </si>
  <si>
    <t>Les données à compléter se trouvent dans les 3 onglets techniques : Mât, Luminaire, Photovoltaïque. Certaines cellules ont des listes déroulantes (un choix à sélectionner parmi plusieurs options) quand d'autres ont une saisie libre. Le code couleur ci-dessous aide l'utilisateur à identifier le type de saisie des cellules.</t>
  </si>
  <si>
    <t>Cellule à saisie libre. L'utilisateur doit renseigner une donnée sans restriction particulière.</t>
  </si>
  <si>
    <t>Cellule à liste déroulante. L'utilisateur doit renseigner une donnée en fonction des options proposées dans la liste déroulante.</t>
  </si>
  <si>
    <t>LEDs par plateau (nombre de LEDs) :</t>
  </si>
  <si>
    <t>Puissance (en Watts) :</t>
  </si>
  <si>
    <t>Masse du driver(s) (en kg) :</t>
  </si>
  <si>
    <t>Longueur du câble interne (en m) :</t>
  </si>
  <si>
    <t>Masse des circuits imprimés (en kg) :</t>
  </si>
  <si>
    <t>Durée d'utilisation par an à pleine puissance (en h/an) :</t>
  </si>
  <si>
    <t>Durée d'utilisation par an à puissance réduite (en h/an) :</t>
  </si>
  <si>
    <t>Coefficient de réduction de puissance (en %) :</t>
  </si>
  <si>
    <t>Part de recyclé (en %) :</t>
  </si>
  <si>
    <t>Masse (en kg) :</t>
  </si>
  <si>
    <t>en kWh</t>
  </si>
  <si>
    <t>Taux de perte de production (en %) :</t>
  </si>
  <si>
    <t>Hauteur (en m)</t>
  </si>
  <si>
    <t>Durée de vie (en années) :</t>
  </si>
  <si>
    <t>Surface (en m²) :</t>
  </si>
  <si>
    <t>La matière correspond au principal composant du mat.</t>
  </si>
  <si>
    <t>La part de matière recyclée correspond au ratio de matière recyclé / matière neuve.</t>
  </si>
  <si>
    <t>L'usinage correspond aux processus de fabrication du mât. Si la valeur est inconnue, une hypothèse moyenne est appliquée.</t>
  </si>
  <si>
    <t>Le taux de perte de production correspond à la part de matière perdue, ne pouvant pas être réintégrée dans le cycle de production.</t>
  </si>
  <si>
    <t>La matière correspond au principal composant de la crosse.</t>
  </si>
  <si>
    <t>L'usinage correspond aux processus de fabrication de la crosse. Si la valeur est inconnue, une hypothèse moyenne est appliquée.</t>
  </si>
  <si>
    <t>La matière correspond au principal composant des tiges de scellement.</t>
  </si>
  <si>
    <t>L'usinage correspond aux processus de fabrication des tiges de scellement. Si la valeur est inconnue, une hypothèse moyenne est appliquée.</t>
  </si>
  <si>
    <t>La matière correspond au principal composant de la vasque.</t>
  </si>
  <si>
    <t>L'usinage correspond aux processus de fabrication de la vasque. Si la valeur est inconnue, une hypothèse moyenne est appliquée.</t>
  </si>
  <si>
    <t>La matière correspond au principal composant de la carcasse / enveloppe.</t>
  </si>
  <si>
    <t>L'usinage correspond aux processus de fabrication de la carcasse / enveloppe. Si la valeur est inconnue, une hypothèse moyenne est appliquée.</t>
  </si>
  <si>
    <t>Durée de vie (en années)</t>
  </si>
  <si>
    <t>Le coefficient de réduction de puissance correspond à la différence de puissance de l'utilisation à puissance réduite par rapport à la pleine puissance.</t>
  </si>
  <si>
    <t>La durée de vie permet d'estimer le nombre de remplacements nécessaires sur la durée de vie du luminaire.</t>
  </si>
  <si>
    <t>3. CONTRôLEUR DE CHARGE</t>
  </si>
  <si>
    <t>market for battery cell, Li-ion, NCA, Monde, ecoinvent 3.10</t>
  </si>
  <si>
    <t>market for battery cell, Li-ion, NMC811, Monde, ecoinvent 3.10</t>
  </si>
  <si>
    <t>market for battery cell, Li-ion, NMC111, Monde, ecoinvent 3.10</t>
  </si>
  <si>
    <t>market for battery, NaCl, Monde, ecoinvent 3.10</t>
  </si>
  <si>
    <t>Moyenne des batteries disponibles sur ecoinvent, ecoinvent 3.10 et ekodev</t>
  </si>
  <si>
    <t>market for battery, NiMH, rechargeable, prismatic, Monde, ecoinvent 3.10</t>
  </si>
  <si>
    <t>market for battery cell, Li-ion, LFP, Monde, ecoinvent 3.10</t>
  </si>
  <si>
    <t>Li-ion - NCA (Lithium-Nickel-Cobalt-Aluminium)</t>
  </si>
  <si>
    <t>Li-ion - NMC111 (Lithium-Nickel-Manganèse-Cobalt)</t>
  </si>
  <si>
    <t>Li-ion - NMC811 (Lithium-Nickel-Manganèse-Cobalt)</t>
  </si>
  <si>
    <t>Li-ion - LFP / LiFePo4 (Lithium-Fer-Phosphate)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</si>
</sst>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quot; ans&quot;"/>
    <numFmt numFmtId="165" formatCode="#,##0&quot; kg&quot;"/>
    <numFmt numFmtId="166" formatCode="#,##0&quot; W&quot;"/>
    <numFmt numFmtId="167" formatCode="#,##0&quot; m&quot;"/>
    <numFmt numFmtId="168" formatCode="#,##0&quot; m²&quot;"/>
    <numFmt numFmtId="169" formatCode="#,##0&quot; diodes&quot;"/>
    <numFmt numFmtId="170" formatCode="#,##0&quot; h/an&quot;"/>
    <numFmt numFmtId="171" formatCode="#,##0.00&quot; kg&quot;"/>
    <numFmt numFmtId="172" formatCode="#,##0.0000&quot; kg&quot;"/>
    <numFmt numFmtId="173" formatCode="#,##0.0&quot; kg/m²&quot;"/>
    <numFmt numFmtId="174" formatCode="0.0"/>
    <numFmt numFmtId="175" formatCode="#,##0.0&quot; kg&quot;"/>
    <numFmt numFmtId="176" formatCode="#,##0.0&quot; W&quot;"/>
    <numFmt numFmtId="177" formatCode="#,##0.0"/>
    <numFmt numFmtId="178" formatCode="#,##0.000"/>
    <numFmt numFmtId="179" formatCode="#,##0.0&quot; kWh/kg&quot;"/>
    <numFmt numFmtId="180" formatCode="#,##0&quot; kWh&quot;"/>
    <numFmt numFmtId="181" formatCode="0.0000"/>
  </numFmts>
  <fonts count="24" x14ac:knownFonts="1">
    <font>
      <sz val="11"/>
      <color theme="1"/>
      <name val="Dubai Light"/>
      <family val="2"/>
      <scheme val="minor"/>
    </font>
    <font>
      <b/>
      <sz val="11"/>
      <color theme="1"/>
      <name val="Dubai Light"/>
      <family val="2"/>
      <scheme val="minor"/>
    </font>
    <font>
      <sz val="11"/>
      <color theme="1"/>
      <name val="Dubai Light"/>
      <family val="2"/>
      <scheme val="minor"/>
    </font>
    <font>
      <b/>
      <sz val="11"/>
      <color theme="0"/>
      <name val="Dubai"/>
      <family val="2"/>
      <scheme val="major"/>
    </font>
    <font>
      <sz val="11"/>
      <color theme="1"/>
      <name val="Dubai"/>
      <family val="2"/>
      <scheme val="major"/>
    </font>
    <font>
      <b/>
      <sz val="11"/>
      <color theme="1"/>
      <name val="Dubai"/>
      <family val="2"/>
      <scheme val="major"/>
    </font>
    <font>
      <b/>
      <u/>
      <sz val="11"/>
      <color theme="1"/>
      <name val="Dubai"/>
      <family val="2"/>
      <scheme val="major"/>
    </font>
    <font>
      <b/>
      <sz val="24"/>
      <color theme="1"/>
      <name val="Dubai"/>
      <family val="2"/>
      <scheme val="major"/>
    </font>
    <font>
      <b/>
      <sz val="24"/>
      <color theme="0"/>
      <name val="Dubai"/>
      <family val="2"/>
      <scheme val="major"/>
    </font>
    <font>
      <sz val="11"/>
      <color theme="0"/>
      <name val="Dubai Light"/>
      <family val="2"/>
      <scheme val="minor"/>
    </font>
    <font>
      <b/>
      <u/>
      <sz val="11"/>
      <color theme="1"/>
      <name val="Dubai"/>
      <family val="2"/>
      <scheme val="major"/>
    </font>
    <font>
      <u/>
      <sz val="11"/>
      <color theme="10"/>
      <name val="Dubai Light"/>
      <family val="2"/>
      <scheme val="minor"/>
    </font>
    <font>
      <b/>
      <sz val="11"/>
      <color theme="10"/>
      <name val="Dubai"/>
      <family val="2"/>
      <scheme val="major"/>
    </font>
    <font>
      <b/>
      <sz val="11"/>
      <name val="Dubai"/>
      <family val="2"/>
      <scheme val="major"/>
    </font>
    <font>
      <b/>
      <sz val="12"/>
      <color theme="0"/>
      <name val="Dubai"/>
      <family val="2"/>
      <scheme val="major"/>
    </font>
    <font>
      <b/>
      <sz val="14"/>
      <color theme="0"/>
      <name val="Dubai"/>
      <family val="2"/>
      <scheme val="major"/>
    </font>
    <font>
      <vertAlign val="subscript"/>
      <sz val="11"/>
      <color theme="1"/>
      <name val="Dubai Light"/>
      <family val="2"/>
      <scheme val="minor"/>
    </font>
    <font>
      <b/>
      <vertAlign val="subscript"/>
      <sz val="11"/>
      <color theme="1"/>
      <name val="Dubai"/>
      <family val="2"/>
      <scheme val="major"/>
    </font>
    <font>
      <b/>
      <vertAlign val="subscript"/>
      <sz val="11"/>
      <name val="Dubai"/>
      <family val="2"/>
      <scheme val="major"/>
    </font>
    <font>
      <sz val="8"/>
      <name val="Dubai Light"/>
      <family val="2"/>
      <scheme val="minor"/>
    </font>
    <font>
      <b/>
      <sz val="10"/>
      <color theme="1"/>
      <name val="Dubai"/>
      <family val="2"/>
      <scheme val="major"/>
    </font>
    <font>
      <b/>
      <sz val="8"/>
      <color theme="1"/>
      <name val="Dubai"/>
      <family val="2"/>
      <scheme val="major"/>
    </font>
    <font>
      <i/>
      <sz val="10"/>
      <color theme="1"/>
      <name val="Dubai Light"/>
      <family val="2"/>
      <scheme val="minor"/>
    </font>
    <font>
      <sz val="10"/>
      <color theme="1"/>
      <name val="Dubai Light"/>
      <family val="2"/>
      <scheme val="minor"/>
    </font>
  </fonts>
  <fills count="2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34998626667073579"/>
        <bgColor indexed="64"/>
      </patternFill>
    </fill>
    <fill>
      <patternFill patternType="solid">
        <fgColor theme="7"/>
        <bgColor indexed="64"/>
      </patternFill>
    </fill>
    <fill>
      <patternFill patternType="solid">
        <fgColor theme="8" tint="-0.749992370372631"/>
        <bgColor indexed="64"/>
      </patternFill>
    </fill>
    <fill>
      <patternFill patternType="solid">
        <fgColor theme="1" tint="0.89999084444715716"/>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bgColor indexed="64"/>
      </patternFill>
    </fill>
    <fill>
      <patternFill patternType="solid">
        <fgColor theme="4"/>
        <bgColor indexed="64"/>
      </patternFill>
    </fill>
    <fill>
      <patternFill patternType="solid">
        <fgColor theme="1" tint="0.249977111117893"/>
        <bgColor indexed="64"/>
      </patternFill>
    </fill>
    <fill>
      <patternFill patternType="solid">
        <fgColor theme="7" tint="-0.249977111117893"/>
        <bgColor indexed="64"/>
      </patternFill>
    </fill>
    <fill>
      <patternFill patternType="solid">
        <fgColor theme="6"/>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2" tint="0.249977111117893"/>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bottom/>
      <diagonal/>
    </border>
  </borders>
  <cellStyleXfs count="3">
    <xf numFmtId="0" fontId="0" fillId="0" borderId="0"/>
    <xf numFmtId="9" fontId="2" fillId="0" borderId="0" applyFont="0" applyFill="0" applyBorder="0" applyAlignment="0" applyProtection="0"/>
    <xf numFmtId="0" fontId="11" fillId="0" borderId="0" applyNumberFormat="0" applyFill="0" applyBorder="0" applyAlignment="0" applyProtection="0"/>
  </cellStyleXfs>
  <cellXfs count="193">
    <xf numFmtId="0" fontId="0" fillId="0" borderId="0" xfId="0"/>
    <xf numFmtId="0" fontId="0" fillId="2" borderId="0" xfId="0" applyFill="1"/>
    <xf numFmtId="0" fontId="5" fillId="2" borderId="0" xfId="0" applyFont="1" applyFill="1"/>
    <xf numFmtId="0" fontId="0" fillId="2" borderId="0" xfId="0" applyFill="1" applyAlignment="1">
      <alignment horizontal="left"/>
    </xf>
    <xf numFmtId="0" fontId="6" fillId="2" borderId="0" xfId="0" applyFont="1" applyFill="1"/>
    <xf numFmtId="0" fontId="1" fillId="2" borderId="0" xfId="0" applyFont="1" applyFill="1"/>
    <xf numFmtId="9" fontId="0" fillId="2" borderId="0" xfId="0" applyNumberFormat="1" applyFill="1"/>
    <xf numFmtId="0" fontId="3" fillId="9" borderId="0" xfId="0" applyFont="1" applyFill="1"/>
    <xf numFmtId="0" fontId="9" fillId="9" borderId="0" xfId="0" applyFont="1" applyFill="1"/>
    <xf numFmtId="0" fontId="0" fillId="2" borderId="0" xfId="0" applyFill="1" applyAlignment="1">
      <alignment horizontal="left" vertical="center"/>
    </xf>
    <xf numFmtId="164" fontId="5" fillId="7" borderId="1" xfId="0" applyNumberFormat="1" applyFont="1" applyFill="1" applyBorder="1" applyAlignment="1">
      <alignment horizontal="center"/>
    </xf>
    <xf numFmtId="0" fontId="10" fillId="2" borderId="0" xfId="0" applyFont="1" applyFill="1"/>
    <xf numFmtId="0" fontId="12" fillId="3" borderId="1" xfId="2" applyFont="1" applyFill="1" applyBorder="1" applyAlignment="1">
      <alignment horizontal="center" vertical="center"/>
    </xf>
    <xf numFmtId="0" fontId="13" fillId="4" borderId="1" xfId="2" applyFont="1" applyFill="1" applyBorder="1" applyAlignment="1">
      <alignment horizontal="center" vertical="center"/>
    </xf>
    <xf numFmtId="0" fontId="13" fillId="5" borderId="1" xfId="2" applyFont="1" applyFill="1" applyBorder="1" applyAlignment="1">
      <alignment horizontal="center" vertical="center"/>
    </xf>
    <xf numFmtId="0" fontId="12" fillId="6" borderId="1" xfId="2" applyFont="1" applyFill="1" applyBorder="1" applyAlignment="1">
      <alignment horizontal="center" vertical="center"/>
    </xf>
    <xf numFmtId="0" fontId="0" fillId="9" borderId="0" xfId="0" applyFill="1"/>
    <xf numFmtId="0" fontId="15" fillId="9" borderId="0" xfId="0" applyFont="1" applyFill="1"/>
    <xf numFmtId="0" fontId="0" fillId="10" borderId="0" xfId="0" applyFill="1"/>
    <xf numFmtId="0" fontId="14" fillId="10" borderId="0" xfId="0" applyFont="1" applyFill="1"/>
    <xf numFmtId="0" fontId="0" fillId="2" borderId="8" xfId="0" applyFill="1" applyBorder="1"/>
    <xf numFmtId="0" fontId="3" fillId="4" borderId="8" xfId="0" applyFont="1" applyFill="1" applyBorder="1" applyAlignment="1">
      <alignment horizontal="center"/>
    </xf>
    <xf numFmtId="0" fontId="3" fillId="5" borderId="8" xfId="0" applyFont="1" applyFill="1" applyBorder="1" applyAlignment="1">
      <alignment horizontal="center"/>
    </xf>
    <xf numFmtId="0" fontId="3" fillId="6" borderId="8" xfId="0" applyFont="1" applyFill="1" applyBorder="1" applyAlignment="1">
      <alignment horizontal="center"/>
    </xf>
    <xf numFmtId="3" fontId="0" fillId="2" borderId="0" xfId="0" applyNumberFormat="1" applyFill="1"/>
    <xf numFmtId="0" fontId="0" fillId="2" borderId="8" xfId="0" applyFill="1" applyBorder="1" applyAlignment="1">
      <alignment horizontal="center" vertical="center"/>
    </xf>
    <xf numFmtId="9" fontId="0" fillId="2" borderId="8" xfId="0" applyNumberFormat="1" applyFill="1" applyBorder="1" applyAlignment="1">
      <alignment horizontal="center" vertical="center"/>
    </xf>
    <xf numFmtId="0" fontId="5" fillId="2" borderId="8" xfId="0" applyFont="1" applyFill="1" applyBorder="1" applyAlignment="1">
      <alignment horizontal="center" vertical="center"/>
    </xf>
    <xf numFmtId="0" fontId="3" fillId="4" borderId="8" xfId="0" applyFont="1" applyFill="1" applyBorder="1" applyAlignment="1">
      <alignment horizontal="center" vertical="center"/>
    </xf>
    <xf numFmtId="0" fontId="5" fillId="2" borderId="11" xfId="0" applyFont="1" applyFill="1" applyBorder="1" applyAlignment="1">
      <alignment horizontal="center" vertical="center"/>
    </xf>
    <xf numFmtId="3" fontId="5" fillId="2" borderId="11" xfId="0" applyNumberFormat="1" applyFont="1" applyFill="1" applyBorder="1" applyAlignment="1">
      <alignment horizontal="center" vertical="center"/>
    </xf>
    <xf numFmtId="3" fontId="5" fillId="2" borderId="12" xfId="0" applyNumberFormat="1"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0" fillId="2" borderId="17" xfId="0" applyFill="1" applyBorder="1" applyAlignment="1">
      <alignment horizontal="center" vertical="center"/>
    </xf>
    <xf numFmtId="0" fontId="5" fillId="2" borderId="18" xfId="0" applyFont="1" applyFill="1" applyBorder="1" applyAlignment="1">
      <alignment horizontal="center" vertical="center"/>
    </xf>
    <xf numFmtId="0" fontId="3" fillId="4" borderId="19" xfId="0" applyFont="1" applyFill="1" applyBorder="1" applyAlignment="1">
      <alignment horizontal="center" vertical="center"/>
    </xf>
    <xf numFmtId="9" fontId="0" fillId="2" borderId="19" xfId="0" applyNumberFormat="1"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5" fillId="2" borderId="13" xfId="0" applyFont="1" applyFill="1" applyBorder="1" applyAlignment="1">
      <alignment horizontal="center" vertical="center"/>
    </xf>
    <xf numFmtId="0" fontId="3" fillId="4" borderId="14" xfId="0" applyFont="1" applyFill="1" applyBorder="1" applyAlignment="1">
      <alignment horizontal="center" vertical="center"/>
    </xf>
    <xf numFmtId="0" fontId="0" fillId="2" borderId="14" xfId="0" applyFill="1" applyBorder="1" applyAlignment="1">
      <alignment horizontal="center" vertical="center"/>
    </xf>
    <xf numFmtId="9" fontId="0" fillId="2" borderId="14" xfId="0" applyNumberFormat="1" applyFill="1" applyBorder="1" applyAlignment="1">
      <alignment horizontal="center" vertical="center"/>
    </xf>
    <xf numFmtId="0" fontId="0" fillId="2" borderId="15" xfId="0" applyFill="1" applyBorder="1" applyAlignment="1">
      <alignment horizontal="center" vertical="center"/>
    </xf>
    <xf numFmtId="3" fontId="5" fillId="2" borderId="21" xfId="0" applyNumberFormat="1" applyFont="1" applyFill="1" applyBorder="1" applyAlignment="1">
      <alignment horizontal="center" vertical="center"/>
    </xf>
    <xf numFmtId="0" fontId="3" fillId="5" borderId="8"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9" xfId="0" applyFont="1" applyFill="1" applyBorder="1" applyAlignment="1">
      <alignment horizontal="center" vertical="center"/>
    </xf>
    <xf numFmtId="0" fontId="0" fillId="2" borderId="0" xfId="0" applyFill="1" applyAlignment="1">
      <alignment horizontal="center"/>
    </xf>
    <xf numFmtId="165" fontId="3" fillId="2" borderId="0" xfId="0" applyNumberFormat="1" applyFont="1" applyFill="1" applyAlignment="1">
      <alignment horizontal="center" vertical="center"/>
    </xf>
    <xf numFmtId="9" fontId="0" fillId="2" borderId="14" xfId="1" applyFont="1" applyFill="1" applyBorder="1" applyAlignment="1">
      <alignment horizontal="center" vertical="center"/>
    </xf>
    <xf numFmtId="3" fontId="0" fillId="2" borderId="19" xfId="0" applyNumberFormat="1" applyFill="1" applyBorder="1" applyAlignment="1">
      <alignment horizontal="center" vertical="center"/>
    </xf>
    <xf numFmtId="167" fontId="0" fillId="2" borderId="0" xfId="0" applyNumberFormat="1" applyFill="1"/>
    <xf numFmtId="0" fontId="5" fillId="2" borderId="22" xfId="0" applyFont="1" applyFill="1" applyBorder="1" applyAlignment="1">
      <alignment horizontal="center" vertical="center"/>
    </xf>
    <xf numFmtId="0" fontId="3" fillId="6" borderId="23" xfId="0" applyFont="1" applyFill="1" applyBorder="1" applyAlignment="1">
      <alignment horizontal="center" vertical="center"/>
    </xf>
    <xf numFmtId="0" fontId="0" fillId="2" borderId="23" xfId="0" applyFill="1" applyBorder="1" applyAlignment="1">
      <alignment horizontal="center" vertical="center"/>
    </xf>
    <xf numFmtId="9" fontId="0" fillId="2" borderId="23" xfId="0" applyNumberFormat="1" applyFill="1" applyBorder="1" applyAlignment="1">
      <alignment horizontal="center" vertical="center"/>
    </xf>
    <xf numFmtId="0" fontId="0" fillId="2" borderId="24" xfId="0" applyFill="1" applyBorder="1" applyAlignment="1">
      <alignment horizontal="center" vertical="center"/>
    </xf>
    <xf numFmtId="3" fontId="5" fillId="2" borderId="1" xfId="0" applyNumberFormat="1" applyFont="1" applyFill="1" applyBorder="1" applyAlignment="1">
      <alignment horizontal="center" vertical="center"/>
    </xf>
    <xf numFmtId="0" fontId="3" fillId="18" borderId="23" xfId="0" applyFont="1" applyFill="1" applyBorder="1" applyAlignment="1">
      <alignment horizontal="center" vertical="center"/>
    </xf>
    <xf numFmtId="164" fontId="0" fillId="2" borderId="8" xfId="0" applyNumberFormat="1" applyFill="1" applyBorder="1" applyAlignment="1">
      <alignment horizontal="left"/>
    </xf>
    <xf numFmtId="176" fontId="0" fillId="2" borderId="8" xfId="0" applyNumberFormat="1" applyFill="1" applyBorder="1" applyAlignment="1">
      <alignment horizontal="left"/>
    </xf>
    <xf numFmtId="170" fontId="0" fillId="2" borderId="8" xfId="0" applyNumberFormat="1" applyFill="1" applyBorder="1" applyAlignment="1">
      <alignment horizontal="left"/>
    </xf>
    <xf numFmtId="9" fontId="0" fillId="2" borderId="8" xfId="0" applyNumberFormat="1" applyFill="1" applyBorder="1" applyAlignment="1">
      <alignment horizontal="left"/>
    </xf>
    <xf numFmtId="172" fontId="0" fillId="2" borderId="8" xfId="0" applyNumberFormat="1" applyFill="1" applyBorder="1"/>
    <xf numFmtId="173" fontId="0" fillId="2" borderId="8" xfId="0" applyNumberFormat="1" applyFill="1" applyBorder="1"/>
    <xf numFmtId="175" fontId="0" fillId="2" borderId="8" xfId="0" applyNumberFormat="1" applyFill="1" applyBorder="1"/>
    <xf numFmtId="0" fontId="3" fillId="8" borderId="0" xfId="0" applyFont="1" applyFill="1"/>
    <xf numFmtId="0" fontId="4" fillId="2" borderId="0" xfId="0" applyFont="1" applyFill="1" applyAlignment="1">
      <alignment horizontal="center"/>
    </xf>
    <xf numFmtId="0" fontId="3" fillId="8" borderId="8" xfId="0" applyFont="1" applyFill="1" applyBorder="1"/>
    <xf numFmtId="0" fontId="3" fillId="18" borderId="8" xfId="0" applyFont="1" applyFill="1" applyBorder="1"/>
    <xf numFmtId="9" fontId="0" fillId="2" borderId="8" xfId="1" applyFont="1" applyFill="1" applyBorder="1"/>
    <xf numFmtId="0" fontId="5" fillId="2" borderId="8" xfId="0" applyFont="1" applyFill="1" applyBorder="1" applyAlignment="1">
      <alignment horizontal="center" vertical="center" wrapText="1"/>
    </xf>
    <xf numFmtId="0" fontId="0" fillId="19" borderId="0" xfId="0" applyFill="1"/>
    <xf numFmtId="0" fontId="14" fillId="18" borderId="0" xfId="0" applyFont="1" applyFill="1"/>
    <xf numFmtId="0" fontId="0" fillId="18" borderId="0" xfId="0" applyFill="1"/>
    <xf numFmtId="0" fontId="0" fillId="8" borderId="0" xfId="0" applyFill="1"/>
    <xf numFmtId="0" fontId="3" fillId="5" borderId="8" xfId="0" applyFont="1" applyFill="1" applyBorder="1"/>
    <xf numFmtId="0" fontId="3" fillId="6" borderId="8" xfId="0" applyFont="1" applyFill="1" applyBorder="1"/>
    <xf numFmtId="177" fontId="0" fillId="2" borderId="8" xfId="0" applyNumberFormat="1" applyFill="1" applyBorder="1" applyAlignment="1">
      <alignment horizontal="center" vertical="center"/>
    </xf>
    <xf numFmtId="177" fontId="0" fillId="2" borderId="9" xfId="0" applyNumberFormat="1" applyFill="1" applyBorder="1" applyAlignment="1">
      <alignment horizontal="center"/>
    </xf>
    <xf numFmtId="3" fontId="5" fillId="2" borderId="0" xfId="0" applyNumberFormat="1" applyFont="1" applyFill="1" applyAlignment="1">
      <alignment horizontal="center"/>
    </xf>
    <xf numFmtId="3" fontId="5" fillId="2" borderId="0" xfId="0" applyNumberFormat="1" applyFont="1" applyFill="1" applyAlignment="1">
      <alignment horizontal="center" vertical="center"/>
    </xf>
    <xf numFmtId="3" fontId="0" fillId="2" borderId="9" xfId="0" applyNumberFormat="1" applyFill="1" applyBorder="1" applyAlignment="1">
      <alignment horizontal="center" vertical="center"/>
    </xf>
    <xf numFmtId="0" fontId="3" fillId="4" borderId="8" xfId="0" applyFont="1" applyFill="1" applyBorder="1"/>
    <xf numFmtId="0" fontId="3" fillId="20" borderId="8" xfId="0" applyFont="1" applyFill="1" applyBorder="1"/>
    <xf numFmtId="0" fontId="3" fillId="21" borderId="8" xfId="0" applyFont="1" applyFill="1" applyBorder="1"/>
    <xf numFmtId="0" fontId="3" fillId="22" borderId="8" xfId="0" applyFont="1" applyFill="1" applyBorder="1"/>
    <xf numFmtId="178" fontId="0" fillId="2" borderId="9" xfId="0" applyNumberFormat="1" applyFill="1" applyBorder="1" applyAlignment="1">
      <alignment horizontal="center" vertical="center"/>
    </xf>
    <xf numFmtId="0" fontId="3" fillId="23" borderId="8" xfId="0" applyFont="1" applyFill="1" applyBorder="1"/>
    <xf numFmtId="0" fontId="3" fillId="24" borderId="8" xfId="0" applyFont="1" applyFill="1" applyBorder="1"/>
    <xf numFmtId="0" fontId="3" fillId="19" borderId="0" xfId="0" applyFont="1" applyFill="1"/>
    <xf numFmtId="0" fontId="3" fillId="19" borderId="8" xfId="0" applyFont="1" applyFill="1" applyBorder="1"/>
    <xf numFmtId="4" fontId="0" fillId="2" borderId="8" xfId="1" applyNumberFormat="1" applyFont="1" applyFill="1" applyBorder="1"/>
    <xf numFmtId="9" fontId="0" fillId="2" borderId="9" xfId="1" applyFont="1" applyFill="1" applyBorder="1" applyAlignment="1">
      <alignment horizontal="center" vertical="center"/>
    </xf>
    <xf numFmtId="9" fontId="0" fillId="2" borderId="8" xfId="1" applyFont="1" applyFill="1" applyBorder="1" applyAlignment="1">
      <alignment horizontal="center" vertical="center"/>
    </xf>
    <xf numFmtId="0" fontId="5" fillId="2" borderId="8" xfId="0" applyFont="1" applyFill="1" applyBorder="1"/>
    <xf numFmtId="174" fontId="0" fillId="2" borderId="8" xfId="0" applyNumberFormat="1" applyFill="1" applyBorder="1"/>
    <xf numFmtId="0" fontId="0" fillId="0" borderId="8" xfId="0" applyBorder="1"/>
    <xf numFmtId="2" fontId="0" fillId="2" borderId="8" xfId="0" applyNumberFormat="1" applyFill="1" applyBorder="1"/>
    <xf numFmtId="0" fontId="5" fillId="2" borderId="16" xfId="0" applyFont="1" applyFill="1" applyBorder="1"/>
    <xf numFmtId="0" fontId="5" fillId="2" borderId="17" xfId="0" applyFont="1" applyFill="1" applyBorder="1"/>
    <xf numFmtId="0" fontId="0" fillId="2" borderId="16" xfId="0" applyFill="1" applyBorder="1"/>
    <xf numFmtId="0" fontId="0" fillId="2" borderId="17" xfId="0" applyFill="1" applyBorder="1"/>
    <xf numFmtId="0" fontId="0" fillId="0" borderId="17" xfId="0" applyBorder="1"/>
    <xf numFmtId="0" fontId="0" fillId="2" borderId="18" xfId="0" applyFill="1" applyBorder="1"/>
    <xf numFmtId="0" fontId="0" fillId="2" borderId="19" xfId="0" applyFill="1" applyBorder="1"/>
    <xf numFmtId="0" fontId="12" fillId="18" borderId="1" xfId="2" applyFont="1" applyFill="1" applyBorder="1" applyAlignment="1">
      <alignment horizontal="center" vertical="center"/>
    </xf>
    <xf numFmtId="0" fontId="12" fillId="25" borderId="1" xfId="2" applyFont="1" applyFill="1" applyBorder="1" applyAlignment="1">
      <alignment horizontal="center" vertical="center"/>
    </xf>
    <xf numFmtId="178" fontId="0" fillId="2" borderId="9" xfId="0" applyNumberFormat="1" applyFill="1" applyBorder="1" applyAlignment="1">
      <alignment horizontal="center"/>
    </xf>
    <xf numFmtId="4" fontId="0" fillId="2" borderId="9" xfId="0" applyNumberFormat="1" applyFill="1" applyBorder="1" applyAlignment="1">
      <alignment horizontal="center" vertical="center"/>
    </xf>
    <xf numFmtId="179" fontId="0" fillId="2" borderId="8" xfId="0" applyNumberFormat="1" applyFill="1" applyBorder="1" applyAlignment="1">
      <alignment horizontal="left"/>
    </xf>
    <xf numFmtId="0" fontId="5" fillId="14" borderId="21" xfId="0" applyFont="1" applyFill="1" applyBorder="1" applyAlignment="1">
      <alignment horizontal="center"/>
    </xf>
    <xf numFmtId="1" fontId="0" fillId="2" borderId="8" xfId="0" applyNumberFormat="1" applyFill="1" applyBorder="1" applyAlignment="1">
      <alignment horizontal="center" vertical="center"/>
    </xf>
    <xf numFmtId="181" fontId="0" fillId="2" borderId="8" xfId="0" applyNumberFormat="1" applyFill="1" applyBorder="1"/>
    <xf numFmtId="4" fontId="5" fillId="2" borderId="0" xfId="0" applyNumberFormat="1" applyFont="1" applyFill="1" applyAlignment="1">
      <alignment horizontal="center" vertical="center"/>
    </xf>
    <xf numFmtId="0" fontId="4" fillId="2" borderId="0" xfId="0" applyFont="1" applyFill="1" applyAlignment="1">
      <alignment horizontal="left" vertical="top" wrapText="1"/>
    </xf>
    <xf numFmtId="0" fontId="4" fillId="2" borderId="0" xfId="0" applyFont="1" applyFill="1" applyAlignment="1">
      <alignment horizontal="left" vertical="top" wrapText="1"/>
    </xf>
    <xf numFmtId="0" fontId="0" fillId="2" borderId="0" xfId="0" applyFill="1" applyAlignment="1">
      <alignment horizontal="left"/>
    </xf>
    <xf numFmtId="0" fontId="0" fillId="2" borderId="3" xfId="0" applyFill="1" applyBorder="1" applyAlignment="1">
      <alignment horizontal="left"/>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vertical="top" wrapText="1"/>
    </xf>
    <xf numFmtId="0" fontId="7" fillId="8" borderId="2" xfId="0" applyFont="1" applyFill="1" applyBorder="1" applyAlignment="1">
      <alignment horizontal="center" vertical="top" wrapText="1"/>
    </xf>
    <xf numFmtId="0" fontId="7" fillId="8" borderId="3" xfId="0" applyFont="1" applyFill="1" applyBorder="1" applyAlignment="1">
      <alignment horizontal="center" vertical="top" wrapText="1"/>
    </xf>
    <xf numFmtId="0" fontId="7" fillId="8" borderId="4" xfId="0" applyFont="1" applyFill="1" applyBorder="1" applyAlignment="1">
      <alignment horizontal="center" vertical="top" wrapText="1"/>
    </xf>
    <xf numFmtId="0" fontId="7" fillId="8" borderId="5" xfId="0" applyFont="1" applyFill="1" applyBorder="1" applyAlignment="1">
      <alignment horizontal="center" vertical="top" wrapText="1"/>
    </xf>
    <xf numFmtId="0" fontId="7" fillId="8" borderId="6" xfId="0" applyFont="1" applyFill="1" applyBorder="1" applyAlignment="1">
      <alignment horizontal="center" vertical="top" wrapText="1"/>
    </xf>
    <xf numFmtId="0" fontId="7" fillId="8" borderId="7" xfId="0" applyFont="1" applyFill="1" applyBorder="1" applyAlignment="1">
      <alignment horizontal="center" vertical="top" wrapText="1"/>
    </xf>
    <xf numFmtId="180" fontId="3" fillId="2" borderId="0" xfId="0" applyNumberFormat="1" applyFont="1" applyFill="1" applyAlignment="1">
      <alignment horizontal="center"/>
    </xf>
    <xf numFmtId="0" fontId="3" fillId="2" borderId="25" xfId="0" applyFont="1" applyFill="1" applyBorder="1" applyAlignment="1">
      <alignment horizontal="center"/>
    </xf>
    <xf numFmtId="0" fontId="3" fillId="2" borderId="0" xfId="0" applyFont="1" applyFill="1" applyAlignment="1">
      <alignment horizontal="center"/>
    </xf>
    <xf numFmtId="0" fontId="0" fillId="2" borderId="0" xfId="0" applyFill="1" applyAlignment="1">
      <alignment horizontal="center"/>
    </xf>
    <xf numFmtId="0" fontId="7" fillId="5" borderId="2" xfId="0" applyFont="1" applyFill="1" applyBorder="1" applyAlignment="1">
      <alignment horizontal="center" vertical="top" wrapText="1"/>
    </xf>
    <xf numFmtId="0" fontId="7" fillId="5" borderId="3" xfId="0" applyFont="1" applyFill="1" applyBorder="1" applyAlignment="1">
      <alignment horizontal="center" vertical="top" wrapText="1"/>
    </xf>
    <xf numFmtId="0" fontId="7" fillId="5" borderId="4"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6" xfId="0" applyFont="1" applyFill="1" applyBorder="1" applyAlignment="1">
      <alignment horizontal="center" vertical="top" wrapText="1"/>
    </xf>
    <xf numFmtId="0" fontId="7" fillId="5" borderId="7" xfId="0" applyFont="1" applyFill="1" applyBorder="1" applyAlignment="1">
      <alignment horizontal="center" vertical="top" wrapText="1"/>
    </xf>
    <xf numFmtId="0" fontId="8" fillId="6" borderId="2" xfId="0" applyFont="1" applyFill="1" applyBorder="1" applyAlignment="1">
      <alignment horizontal="center" vertical="top" wrapText="1"/>
    </xf>
    <xf numFmtId="0" fontId="8" fillId="6" borderId="3" xfId="0" applyFont="1" applyFill="1" applyBorder="1" applyAlignment="1">
      <alignment horizontal="center" vertical="top" wrapText="1"/>
    </xf>
    <xf numFmtId="0" fontId="8" fillId="6" borderId="4" xfId="0" applyFont="1" applyFill="1" applyBorder="1" applyAlignment="1">
      <alignment horizontal="center" vertical="top" wrapText="1"/>
    </xf>
    <xf numFmtId="0" fontId="8" fillId="6" borderId="5" xfId="0" applyFont="1" applyFill="1" applyBorder="1" applyAlignment="1">
      <alignment horizontal="center" vertical="top" wrapText="1"/>
    </xf>
    <xf numFmtId="0" fontId="8" fillId="6" borderId="6" xfId="0" applyFont="1" applyFill="1" applyBorder="1" applyAlignment="1">
      <alignment horizontal="center" vertical="top" wrapText="1"/>
    </xf>
    <xf numFmtId="0" fontId="8" fillId="6" borderId="7" xfId="0" applyFont="1" applyFill="1" applyBorder="1" applyAlignment="1">
      <alignment horizontal="center" vertical="top" wrapText="1"/>
    </xf>
    <xf numFmtId="0" fontId="13" fillId="2" borderId="0" xfId="0" applyFont="1" applyFill="1" applyAlignment="1">
      <alignment horizontal="center"/>
    </xf>
    <xf numFmtId="0" fontId="5" fillId="12" borderId="14" xfId="0" applyFont="1" applyFill="1" applyBorder="1" applyAlignment="1">
      <alignment horizontal="center"/>
    </xf>
    <xf numFmtId="0" fontId="5" fillId="12" borderId="15" xfId="0" applyFont="1" applyFill="1" applyBorder="1" applyAlignment="1">
      <alignment horizontal="center"/>
    </xf>
    <xf numFmtId="0" fontId="5" fillId="13" borderId="13" xfId="0" applyFont="1" applyFill="1" applyBorder="1" applyAlignment="1">
      <alignment horizontal="center"/>
    </xf>
    <xf numFmtId="0" fontId="5" fillId="13" borderId="14" xfId="0" applyFont="1" applyFill="1" applyBorder="1" applyAlignment="1">
      <alignment horizontal="center"/>
    </xf>
    <xf numFmtId="0" fontId="5" fillId="11" borderId="14" xfId="0" applyFont="1" applyFill="1" applyBorder="1" applyAlignment="1">
      <alignment horizontal="center"/>
    </xf>
    <xf numFmtId="0" fontId="5" fillId="15" borderId="14" xfId="0" applyFont="1" applyFill="1" applyBorder="1" applyAlignment="1">
      <alignment horizontal="center" vertical="center"/>
    </xf>
    <xf numFmtId="0" fontId="5" fillId="15" borderId="15" xfId="0" applyFont="1" applyFill="1" applyBorder="1" applyAlignment="1">
      <alignment horizontal="center" vertical="center"/>
    </xf>
    <xf numFmtId="0" fontId="5" fillId="16" borderId="14" xfId="0" applyFont="1" applyFill="1" applyBorder="1" applyAlignment="1">
      <alignment horizontal="center" vertical="center" wrapText="1"/>
    </xf>
    <xf numFmtId="0" fontId="5" fillId="17" borderId="13" xfId="0" applyFont="1" applyFill="1" applyBorder="1" applyAlignment="1">
      <alignment horizontal="center" vertical="center"/>
    </xf>
    <xf numFmtId="0" fontId="5" fillId="17" borderId="14" xfId="0" applyFont="1" applyFill="1" applyBorder="1" applyAlignment="1">
      <alignment horizontal="center" vertical="center"/>
    </xf>
    <xf numFmtId="0" fontId="0" fillId="2" borderId="0" xfId="0" applyFill="1" applyAlignment="1">
      <alignment horizontal="left" wrapText="1"/>
    </xf>
    <xf numFmtId="0" fontId="0" fillId="11" borderId="1" xfId="0" applyFill="1" applyBorder="1"/>
    <xf numFmtId="0" fontId="0" fillId="24" borderId="1" xfId="0" applyFill="1" applyBorder="1"/>
    <xf numFmtId="0" fontId="5" fillId="24" borderId="8" xfId="0" applyFont="1" applyFill="1" applyBorder="1" applyAlignment="1">
      <alignment horizontal="center"/>
    </xf>
    <xf numFmtId="9" fontId="5" fillId="24" borderId="8" xfId="1" applyFont="1" applyFill="1" applyBorder="1" applyAlignment="1">
      <alignment horizontal="center"/>
    </xf>
    <xf numFmtId="9" fontId="5" fillId="11" borderId="8" xfId="1" applyFont="1" applyFill="1" applyBorder="1" applyAlignment="1">
      <alignment horizontal="center"/>
    </xf>
    <xf numFmtId="165" fontId="5" fillId="11" borderId="8" xfId="0" applyNumberFormat="1" applyFont="1" applyFill="1" applyBorder="1" applyAlignment="1">
      <alignment horizontal="center"/>
    </xf>
    <xf numFmtId="167" fontId="5" fillId="11" borderId="9" xfId="0" applyNumberFormat="1" applyFont="1" applyFill="1" applyBorder="1" applyAlignment="1">
      <alignment horizontal="center"/>
    </xf>
    <xf numFmtId="167" fontId="5" fillId="11" borderId="10" xfId="0" applyNumberFormat="1" applyFont="1" applyFill="1" applyBorder="1" applyAlignment="1">
      <alignment horizontal="center"/>
    </xf>
    <xf numFmtId="175" fontId="5" fillId="11" borderId="8" xfId="0" applyNumberFormat="1" applyFont="1" applyFill="1" applyBorder="1" applyAlignment="1">
      <alignment horizontal="center"/>
    </xf>
    <xf numFmtId="169" fontId="5" fillId="11" borderId="8" xfId="0" applyNumberFormat="1" applyFont="1" applyFill="1" applyBorder="1" applyAlignment="1">
      <alignment horizontal="center"/>
    </xf>
    <xf numFmtId="166" fontId="5" fillId="11" borderId="9" xfId="0" applyNumberFormat="1" applyFont="1" applyFill="1" applyBorder="1" applyAlignment="1">
      <alignment horizontal="center"/>
    </xf>
    <xf numFmtId="166" fontId="5" fillId="11" borderId="10" xfId="0" applyNumberFormat="1" applyFont="1" applyFill="1" applyBorder="1" applyAlignment="1">
      <alignment horizontal="center"/>
    </xf>
    <xf numFmtId="171" fontId="5" fillId="11" borderId="8" xfId="0" applyNumberFormat="1" applyFont="1" applyFill="1" applyBorder="1" applyAlignment="1">
      <alignment horizontal="center"/>
    </xf>
    <xf numFmtId="167" fontId="3" fillId="11" borderId="8" xfId="0" applyNumberFormat="1" applyFont="1" applyFill="1" applyBorder="1" applyAlignment="1">
      <alignment horizontal="center"/>
    </xf>
    <xf numFmtId="164" fontId="5" fillId="11" borderId="8" xfId="0" applyNumberFormat="1" applyFont="1" applyFill="1" applyBorder="1" applyAlignment="1">
      <alignment horizontal="center"/>
    </xf>
    <xf numFmtId="170" fontId="5" fillId="11" borderId="8" xfId="0" applyNumberFormat="1" applyFont="1" applyFill="1" applyBorder="1" applyAlignment="1">
      <alignment horizontal="center"/>
    </xf>
    <xf numFmtId="180" fontId="20" fillId="24" borderId="9" xfId="0" applyNumberFormat="1" applyFont="1" applyFill="1" applyBorder="1" applyAlignment="1">
      <alignment horizontal="center"/>
    </xf>
    <xf numFmtId="180" fontId="20" fillId="24" borderId="10" xfId="0" applyNumberFormat="1" applyFont="1" applyFill="1" applyBorder="1" applyAlignment="1">
      <alignment horizontal="center"/>
    </xf>
    <xf numFmtId="180" fontId="21" fillId="24" borderId="9" xfId="0" applyNumberFormat="1" applyFont="1" applyFill="1" applyBorder="1" applyAlignment="1">
      <alignment horizontal="center"/>
    </xf>
    <xf numFmtId="180" fontId="21" fillId="24" borderId="10" xfId="0" applyNumberFormat="1" applyFont="1" applyFill="1" applyBorder="1" applyAlignment="1">
      <alignment horizontal="center"/>
    </xf>
    <xf numFmtId="180" fontId="20" fillId="24" borderId="8" xfId="0" applyNumberFormat="1" applyFont="1" applyFill="1" applyBorder="1" applyAlignment="1">
      <alignment horizontal="center"/>
    </xf>
    <xf numFmtId="0" fontId="5" fillId="24" borderId="8" xfId="0" applyFont="1" applyFill="1" applyBorder="1" applyAlignment="1">
      <alignment horizontal="left"/>
    </xf>
    <xf numFmtId="165" fontId="5" fillId="24" borderId="8" xfId="1" applyNumberFormat="1" applyFont="1" applyFill="1" applyBorder="1" applyAlignment="1">
      <alignment horizontal="center"/>
    </xf>
    <xf numFmtId="165" fontId="5" fillId="24" borderId="8" xfId="1" applyNumberFormat="1" applyFont="1" applyFill="1" applyBorder="1" applyAlignment="1">
      <alignment horizontal="center" vertical="center" wrapText="1"/>
    </xf>
    <xf numFmtId="168" fontId="5" fillId="11" borderId="8" xfId="1" applyNumberFormat="1" applyFont="1" applyFill="1" applyBorder="1" applyAlignment="1">
      <alignment horizontal="center"/>
    </xf>
    <xf numFmtId="0" fontId="13" fillId="11" borderId="8" xfId="0" applyFont="1" applyFill="1" applyBorder="1" applyAlignment="1">
      <alignment horizontal="center"/>
    </xf>
    <xf numFmtId="165" fontId="5" fillId="11" borderId="9" xfId="1" applyNumberFormat="1" applyFont="1" applyFill="1" applyBorder="1" applyAlignment="1">
      <alignment horizontal="center" vertical="center" wrapText="1"/>
    </xf>
    <xf numFmtId="165" fontId="5" fillId="11" borderId="10" xfId="1" applyNumberFormat="1" applyFont="1" applyFill="1" applyBorder="1" applyAlignment="1">
      <alignment horizontal="center" vertical="center" wrapText="1"/>
    </xf>
    <xf numFmtId="0" fontId="22" fillId="2" borderId="0" xfId="0" applyFont="1" applyFill="1"/>
    <xf numFmtId="0" fontId="0" fillId="2" borderId="0" xfId="0" applyFill="1" applyAlignment="1"/>
    <xf numFmtId="0" fontId="23" fillId="2" borderId="0" xfId="0" applyFont="1" applyFill="1"/>
    <xf numFmtId="0" fontId="0" fillId="2" borderId="20" xfId="0" applyFill="1" applyBorder="1"/>
  </cellXfs>
  <cellStyles count="3">
    <cellStyle name="Lien hypertexte" xfId="2" builtinId="8"/>
    <cellStyle name="Normal" xfId="0" builtinId="0"/>
    <cellStyle name="Pourcentage" xfId="1" builtinId="5"/>
  </cellStyles>
  <dxfs count="31">
    <dxf>
      <font>
        <color theme="0"/>
      </font>
      <fill>
        <patternFill>
          <bgColor theme="0"/>
        </patternFill>
      </fill>
      <border>
        <right/>
        <top/>
        <bottom/>
        <vertical/>
        <horizontal/>
      </border>
    </dxf>
    <dxf>
      <font>
        <color theme="0"/>
      </font>
      <fill>
        <patternFill patternType="none">
          <bgColor auto="1"/>
        </patternFill>
      </fill>
    </dxf>
    <dxf>
      <font>
        <color theme="0"/>
      </font>
      <fill>
        <patternFill>
          <bgColor theme="0"/>
        </patternFill>
      </fill>
      <border>
        <right/>
        <top/>
        <bottom/>
        <vertical/>
        <horizontal/>
      </border>
    </dxf>
    <dxf>
      <font>
        <color theme="0"/>
      </font>
      <fill>
        <patternFill patternType="none">
          <bgColor auto="1"/>
        </patternFill>
      </fill>
    </dxf>
    <dxf>
      <font>
        <strike val="0"/>
        <color auto="1"/>
      </font>
      <border>
        <left style="thin">
          <color auto="1"/>
        </left>
        <right style="thin">
          <color auto="1"/>
        </right>
        <top style="thin">
          <color auto="1"/>
        </top>
        <bottom style="thin">
          <color auto="1"/>
        </bottom>
        <vertical/>
        <horizontal/>
      </border>
    </dxf>
    <dxf>
      <font>
        <color auto="1"/>
      </font>
    </dxf>
    <dxf>
      <font>
        <color theme="0"/>
      </font>
      <fill>
        <patternFill>
          <bgColor theme="0"/>
        </patternFill>
      </fill>
      <border>
        <left/>
        <right/>
        <vertical/>
        <horizontal/>
      </border>
    </dxf>
    <dxf>
      <font>
        <color theme="0"/>
      </font>
    </dxf>
    <dxf>
      <font>
        <color auto="1"/>
      </font>
      <fill>
        <patternFill>
          <bgColor theme="0" tint="-4.9989318521683403E-2"/>
        </patternFill>
      </fill>
      <border>
        <left style="thin">
          <color auto="1"/>
        </left>
        <right style="thin">
          <color auto="1"/>
        </right>
        <top style="thin">
          <color auto="1"/>
        </top>
        <bottom style="thin">
          <color auto="1"/>
        </bottom>
        <vertical/>
        <horizontal/>
      </border>
    </dxf>
    <dxf>
      <font>
        <color auto="1"/>
      </font>
    </dxf>
    <dxf>
      <font>
        <color auto="1"/>
      </font>
      <fill>
        <patternFill patternType="solid">
          <bgColor theme="0"/>
        </patternFill>
      </fill>
      <border>
        <left style="thin">
          <color auto="1"/>
        </left>
        <right style="thin">
          <color auto="1"/>
        </right>
        <top style="thin">
          <color auto="1"/>
        </top>
        <bottom style="thin">
          <color auto="1"/>
        </bottom>
        <vertical/>
        <horizontal/>
      </border>
    </dxf>
    <dxf>
      <font>
        <color auto="1"/>
      </font>
      <fill>
        <patternFill>
          <bgColor theme="0" tint="-4.9989318521683403E-2"/>
        </patternFill>
      </fill>
      <border>
        <left style="thin">
          <color auto="1"/>
        </left>
        <right style="thin">
          <color auto="1"/>
        </right>
        <top style="thin">
          <color auto="1"/>
        </top>
        <bottom style="thin">
          <color auto="1"/>
        </bottom>
        <vertical/>
        <horizontal/>
      </border>
    </dxf>
    <dxf>
      <font>
        <color auto="1"/>
      </font>
    </dxf>
    <dxf>
      <font>
        <color auto="1"/>
      </font>
      <fill>
        <patternFill patternType="solid">
          <bgColor theme="0"/>
        </patternFill>
      </fill>
      <border>
        <left style="thin">
          <color auto="1"/>
        </left>
        <right style="thin">
          <color auto="1"/>
        </right>
        <top style="thin">
          <color auto="1"/>
        </top>
        <bottom style="thin">
          <color auto="1"/>
        </bottom>
        <vertical/>
        <horizontal/>
      </border>
    </dxf>
    <dxf>
      <font>
        <color auto="1"/>
      </font>
    </dxf>
    <dxf>
      <font>
        <color theme="0"/>
      </font>
      <border>
        <left/>
        <right/>
        <vertical/>
        <horizontal/>
      </border>
    </dxf>
    <dxf>
      <font>
        <color theme="0"/>
      </font>
      <border>
        <left/>
        <right/>
        <vertical/>
        <horizontal/>
      </border>
    </dxf>
    <dxf>
      <font>
        <color theme="0"/>
      </font>
      <border>
        <vertical/>
        <horizontal/>
      </border>
    </dxf>
    <dxf>
      <font>
        <color theme="0"/>
      </font>
    </dxf>
    <dxf>
      <font>
        <color auto="1"/>
      </font>
      <fill>
        <patternFill>
          <bgColor theme="0" tint="-4.9989318521683403E-2"/>
        </patternFill>
      </fill>
      <border>
        <left style="thin">
          <color auto="1"/>
        </left>
        <right style="thin">
          <color auto="1"/>
        </right>
        <top style="thin">
          <color auto="1"/>
        </top>
        <bottom style="thin">
          <color auto="1"/>
        </bottom>
        <vertical/>
        <horizontal/>
      </border>
    </dxf>
    <dxf>
      <font>
        <color auto="1"/>
      </font>
    </dxf>
    <dxf>
      <font>
        <color auto="1"/>
      </font>
      <fill>
        <patternFill>
          <bgColor theme="0" tint="-4.9989318521683403E-2"/>
        </patternFill>
      </fill>
      <border>
        <left style="thin">
          <color auto="1"/>
        </left>
        <right style="thin">
          <color auto="1"/>
        </right>
        <top style="thin">
          <color auto="1"/>
        </top>
        <bottom style="thin">
          <color auto="1"/>
        </bottom>
        <vertical/>
        <horizontal/>
      </border>
    </dxf>
    <dxf>
      <font>
        <color auto="1"/>
      </font>
    </dxf>
    <dxf>
      <font>
        <color auto="1"/>
      </font>
      <fill>
        <patternFill>
          <bgColor theme="0" tint="-4.9989318521683403E-2"/>
        </patternFill>
      </fill>
      <border>
        <left style="thin">
          <color auto="1"/>
        </left>
        <right style="thin">
          <color auto="1"/>
        </right>
        <top style="thin">
          <color auto="1"/>
        </top>
        <bottom style="thin">
          <color auto="1"/>
        </bottom>
        <vertical/>
        <horizontal/>
      </border>
    </dxf>
    <dxf>
      <font>
        <color auto="1"/>
      </font>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theme="0"/>
      </font>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spc="0" baseline="0">
                <a:solidFill>
                  <a:sysClr val="windowText" lastClr="000000"/>
                </a:solidFill>
                <a:latin typeface="+mj-lt"/>
                <a:ea typeface="+mn-ea"/>
                <a:cs typeface="+mn-cs"/>
              </a:defRPr>
            </a:pPr>
            <a:r>
              <a:rPr lang="fr-FR" sz="1600" b="1">
                <a:solidFill>
                  <a:sysClr val="windowText" lastClr="000000"/>
                </a:solidFill>
                <a:latin typeface="+mj-lt"/>
              </a:rPr>
              <a:t>RÉPARTITION DE L'IMPACT</a:t>
            </a:r>
            <a:r>
              <a:rPr lang="fr-FR" sz="1600" b="1" baseline="0">
                <a:solidFill>
                  <a:sysClr val="windowText" lastClr="000000"/>
                </a:solidFill>
                <a:latin typeface="+mj-lt"/>
              </a:rPr>
              <a:t> CARBONE</a:t>
            </a:r>
          </a:p>
          <a:p>
            <a:pPr>
              <a:defRPr sz="1600" b="1">
                <a:solidFill>
                  <a:sysClr val="windowText" lastClr="000000"/>
                </a:solidFill>
                <a:latin typeface="+mj-lt"/>
              </a:defRPr>
            </a:pPr>
            <a:r>
              <a:rPr lang="fr-FR" sz="1600" b="1" baseline="0">
                <a:solidFill>
                  <a:sysClr val="windowText" lastClr="000000"/>
                </a:solidFill>
                <a:latin typeface="+mj-lt"/>
              </a:rPr>
              <a:t>(en tCO</a:t>
            </a:r>
            <a:r>
              <a:rPr lang="fr-FR" sz="1600" b="1" baseline="-25000">
                <a:solidFill>
                  <a:sysClr val="windowText" lastClr="000000"/>
                </a:solidFill>
                <a:latin typeface="+mj-lt"/>
              </a:rPr>
              <a:t>2</a:t>
            </a:r>
            <a:r>
              <a:rPr lang="fr-FR" sz="1600" b="1" baseline="0">
                <a:solidFill>
                  <a:sysClr val="windowText" lastClr="000000"/>
                </a:solidFill>
                <a:latin typeface="+mj-lt"/>
              </a:rPr>
              <a:t>e)</a:t>
            </a:r>
            <a:endParaRPr lang="fr-FR" sz="1600" b="1">
              <a:solidFill>
                <a:sysClr val="windowText" lastClr="000000"/>
              </a:solidFill>
              <a:latin typeface="+mj-l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j-lt"/>
              <a:ea typeface="+mn-ea"/>
              <a:cs typeface="+mn-cs"/>
            </a:defRPr>
          </a:pPr>
          <a:endParaRPr lang="fr-FR"/>
        </a:p>
      </c:txPr>
    </c:title>
    <c:autoTitleDeleted val="0"/>
    <c:plotArea>
      <c:layout>
        <c:manualLayout>
          <c:layoutTarget val="inner"/>
          <c:xMode val="edge"/>
          <c:yMode val="edge"/>
          <c:x val="0.31222030190832561"/>
          <c:y val="0.28904428904428903"/>
          <c:w val="0.3677557797986622"/>
          <c:h val="0.61746966943817339"/>
        </c:manualLayout>
      </c:layout>
      <c:doughnutChart>
        <c:varyColors val="1"/>
        <c:ser>
          <c:idx val="0"/>
          <c:order val="0"/>
          <c:tx>
            <c:strRef>
              <c:f>Résultats!$C$6</c:f>
              <c:strCache>
                <c:ptCount val="1"/>
                <c:pt idx="0">
                  <c:v>Impact Carbone
(en tCO2e)</c:v>
                </c:pt>
              </c:strCache>
            </c:strRef>
          </c:tx>
          <c:spPr>
            <a:ln>
              <a:noFill/>
            </a:ln>
          </c:spPr>
          <c:dPt>
            <c:idx val="0"/>
            <c:bubble3D val="0"/>
            <c:spPr>
              <a:solidFill>
                <a:srgbClr val="FFFFFF">
                  <a:lumMod val="75000"/>
                </a:srgbClr>
              </a:solidFill>
              <a:ln w="19050">
                <a:noFill/>
              </a:ln>
              <a:effectLst/>
            </c:spPr>
            <c:extLst>
              <c:ext xmlns:c16="http://schemas.microsoft.com/office/drawing/2014/chart" uri="{C3380CC4-5D6E-409C-BE32-E72D297353CC}">
                <c16:uniqueId val="{00000001-E3D1-424E-BC83-52BFC9A76C01}"/>
              </c:ext>
            </c:extLst>
          </c:dPt>
          <c:dPt>
            <c:idx val="1"/>
            <c:bubble3D val="0"/>
            <c:explosion val="6"/>
            <c:spPr>
              <a:solidFill>
                <a:srgbClr val="70A1A3"/>
              </a:solidFill>
              <a:ln w="19050">
                <a:noFill/>
              </a:ln>
              <a:effectLst/>
            </c:spPr>
            <c:extLst>
              <c:ext xmlns:c16="http://schemas.microsoft.com/office/drawing/2014/chart" uri="{C3380CC4-5D6E-409C-BE32-E72D297353CC}">
                <c16:uniqueId val="{00000003-E3D1-424E-BC83-52BFC9A76C01}"/>
              </c:ext>
            </c:extLst>
          </c:dPt>
          <c:dLbls>
            <c:dLbl>
              <c:idx val="0"/>
              <c:layout>
                <c:manualLayout>
                  <c:x val="0.31401973044324022"/>
                  <c:y val="-0.13986013986013987"/>
                </c:manualLayout>
              </c:layout>
              <c:tx>
                <c:rich>
                  <a:bodyPr rot="0" spcFirstLastPara="1" vertOverflow="ellipsis" vert="horz" wrap="square" lIns="38100" tIns="19050" rIns="38100" bIns="19050" anchor="ctr" anchorCtr="1">
                    <a:spAutoFit/>
                  </a:bodyPr>
                  <a:lstStyle/>
                  <a:p>
                    <a:pPr>
                      <a:defRPr sz="1200" b="1" i="0" u="none" strike="noStrike" kern="1200" baseline="0">
                        <a:solidFill>
                          <a:schemeClr val="bg1">
                            <a:lumMod val="75000"/>
                          </a:schemeClr>
                        </a:solidFill>
                        <a:latin typeface="+mj-lt"/>
                        <a:ea typeface="+mn-ea"/>
                        <a:cs typeface="+mn-cs"/>
                      </a:defRPr>
                    </a:pPr>
                    <a:fld id="{55EE9AEE-9E21-4BF8-ABFE-26ABABF2DF29}" type="CATEGORYNAME">
                      <a:rPr lang="en-US" b="1">
                        <a:solidFill>
                          <a:schemeClr val="bg1">
                            <a:lumMod val="75000"/>
                          </a:schemeClr>
                        </a:solidFill>
                        <a:latin typeface="+mj-lt"/>
                      </a:rPr>
                      <a:pPr>
                        <a:defRPr b="1">
                          <a:solidFill>
                            <a:schemeClr val="bg1">
                              <a:lumMod val="75000"/>
                            </a:schemeClr>
                          </a:solidFill>
                          <a:latin typeface="+mj-lt"/>
                        </a:defRPr>
                      </a:pPr>
                      <a:t>[NOM DE CATÉGORIE]</a:t>
                    </a:fld>
                    <a:endParaRPr lang="en-US" b="1" baseline="0">
                      <a:solidFill>
                        <a:schemeClr val="bg1">
                          <a:lumMod val="75000"/>
                        </a:schemeClr>
                      </a:solidFill>
                      <a:latin typeface="+mj-lt"/>
                    </a:endParaRPr>
                  </a:p>
                  <a:p>
                    <a:pPr>
                      <a:defRPr b="1">
                        <a:solidFill>
                          <a:schemeClr val="bg1">
                            <a:lumMod val="75000"/>
                          </a:schemeClr>
                        </a:solidFill>
                        <a:latin typeface="+mj-lt"/>
                      </a:defRPr>
                    </a:pPr>
                    <a:fld id="{0CC6F390-CEFF-411E-8DB1-30896F2DC3E8}" type="VALUE">
                      <a:rPr lang="en-US" b="1">
                        <a:solidFill>
                          <a:schemeClr val="bg1">
                            <a:lumMod val="75000"/>
                          </a:schemeClr>
                        </a:solidFill>
                        <a:latin typeface="+mj-lt"/>
                      </a:rPr>
                      <a:pPr>
                        <a:defRPr b="1">
                          <a:solidFill>
                            <a:schemeClr val="bg1">
                              <a:lumMod val="75000"/>
                            </a:schemeClr>
                          </a:solidFill>
                          <a:latin typeface="+mj-lt"/>
                        </a:defRPr>
                      </a:pPr>
                      <a:t>[VALEUR]</a:t>
                    </a:fld>
                    <a:r>
                      <a:rPr lang="en-US" b="1">
                        <a:solidFill>
                          <a:schemeClr val="bg1">
                            <a:lumMod val="75000"/>
                          </a:schemeClr>
                        </a:solidFill>
                        <a:latin typeface="+mj-lt"/>
                      </a:rPr>
                      <a:t> tCO</a:t>
                    </a:r>
                    <a:r>
                      <a:rPr lang="en-US" b="1" baseline="-25000">
                        <a:solidFill>
                          <a:schemeClr val="bg1">
                            <a:lumMod val="75000"/>
                          </a:schemeClr>
                        </a:solidFill>
                        <a:latin typeface="+mj-lt"/>
                      </a:rPr>
                      <a:t>2</a:t>
                    </a:r>
                    <a:r>
                      <a:rPr lang="en-US" b="1">
                        <a:solidFill>
                          <a:schemeClr val="bg1">
                            <a:lumMod val="75000"/>
                          </a:schemeClr>
                        </a:solidFill>
                        <a:latin typeface="+mj-lt"/>
                      </a:rPr>
                      <a:t>e</a:t>
                    </a:r>
                    <a:endParaRPr lang="en-US" b="1" baseline="0">
                      <a:solidFill>
                        <a:schemeClr val="bg1">
                          <a:lumMod val="75000"/>
                        </a:schemeClr>
                      </a:solidFill>
                      <a:latin typeface="+mj-lt"/>
                    </a:endParaRPr>
                  </a:p>
                  <a:p>
                    <a:pPr>
                      <a:defRPr b="1">
                        <a:solidFill>
                          <a:schemeClr val="bg1">
                            <a:lumMod val="75000"/>
                          </a:schemeClr>
                        </a:solidFill>
                        <a:latin typeface="+mj-lt"/>
                      </a:defRPr>
                    </a:pPr>
                    <a:fld id="{49D0C4AA-BC0F-4B69-BDB9-4AA88948F59A}" type="PERCENTAGE">
                      <a:rPr lang="en-US" b="1">
                        <a:solidFill>
                          <a:schemeClr val="bg1">
                            <a:lumMod val="75000"/>
                          </a:schemeClr>
                        </a:solidFill>
                        <a:latin typeface="+mj-lt"/>
                      </a:rPr>
                      <a:pPr>
                        <a:defRPr b="1">
                          <a:solidFill>
                            <a:schemeClr val="bg1">
                              <a:lumMod val="75000"/>
                            </a:schemeClr>
                          </a:solidFill>
                          <a:latin typeface="+mj-lt"/>
                        </a:defRPr>
                      </a:pPr>
                      <a:t>[POURCENTAGE]</a:t>
                    </a:fld>
                    <a:endParaRPr lang="fr-F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lumMod val="75000"/>
                        </a:schemeClr>
                      </a:solidFill>
                      <a:latin typeface="+mj-lt"/>
                      <a:ea typeface="+mn-ea"/>
                      <a:cs typeface="+mn-cs"/>
                    </a:defRPr>
                  </a:pPr>
                  <a:endParaRPr lang="fr-FR"/>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3D1-424E-BC83-52BFC9A76C01}"/>
                </c:ext>
              </c:extLst>
            </c:dLbl>
            <c:dLbl>
              <c:idx val="1"/>
              <c:layout>
                <c:manualLayout>
                  <c:x val="-0.32235653744615811"/>
                  <c:y val="6.5268065268065265E-2"/>
                </c:manualLayout>
              </c:layout>
              <c:tx>
                <c:rich>
                  <a:bodyPr rot="0" spcFirstLastPara="1" vertOverflow="ellipsis" vert="horz" wrap="square" lIns="38100" tIns="19050" rIns="38100" bIns="19050" anchor="ctr" anchorCtr="1">
                    <a:spAutoFit/>
                  </a:bodyPr>
                  <a:lstStyle/>
                  <a:p>
                    <a:pPr>
                      <a:defRPr sz="1200" b="1" i="0" u="none" strike="noStrike" kern="1200" baseline="0">
                        <a:solidFill>
                          <a:schemeClr val="accent2"/>
                        </a:solidFill>
                        <a:latin typeface="+mj-lt"/>
                        <a:ea typeface="+mn-ea"/>
                        <a:cs typeface="+mn-cs"/>
                      </a:defRPr>
                    </a:pPr>
                    <a:fld id="{C9456AD7-661C-4C6D-BAA4-AE27CA0AB9DE}" type="CATEGORYNAME">
                      <a:rPr lang="en-US" b="1">
                        <a:solidFill>
                          <a:schemeClr val="accent2"/>
                        </a:solidFill>
                        <a:latin typeface="+mj-lt"/>
                      </a:rPr>
                      <a:pPr>
                        <a:defRPr b="1">
                          <a:solidFill>
                            <a:schemeClr val="accent2"/>
                          </a:solidFill>
                          <a:latin typeface="+mj-lt"/>
                        </a:defRPr>
                      </a:pPr>
                      <a:t>[NOM DE CATÉGORIE]</a:t>
                    </a:fld>
                    <a:endParaRPr lang="en-US" b="1" baseline="0">
                      <a:solidFill>
                        <a:schemeClr val="accent2"/>
                      </a:solidFill>
                      <a:latin typeface="+mj-lt"/>
                    </a:endParaRPr>
                  </a:p>
                  <a:p>
                    <a:pPr>
                      <a:defRPr b="1">
                        <a:solidFill>
                          <a:schemeClr val="accent2"/>
                        </a:solidFill>
                        <a:latin typeface="+mj-lt"/>
                      </a:defRPr>
                    </a:pPr>
                    <a:fld id="{1BF3FCD7-5DE6-4EBA-BCB1-00CE4750B8D1}" type="VALUE">
                      <a:rPr lang="en-US" b="1">
                        <a:solidFill>
                          <a:schemeClr val="accent2"/>
                        </a:solidFill>
                        <a:latin typeface="+mj-lt"/>
                      </a:rPr>
                      <a:pPr>
                        <a:defRPr b="1">
                          <a:solidFill>
                            <a:schemeClr val="accent2"/>
                          </a:solidFill>
                          <a:latin typeface="+mj-lt"/>
                        </a:defRPr>
                      </a:pPr>
                      <a:t>[VALEUR]</a:t>
                    </a:fld>
                    <a:r>
                      <a:rPr lang="en-US" b="1">
                        <a:solidFill>
                          <a:schemeClr val="accent2"/>
                        </a:solidFill>
                        <a:latin typeface="+mj-lt"/>
                      </a:rPr>
                      <a:t> tCO</a:t>
                    </a:r>
                    <a:r>
                      <a:rPr lang="en-US" b="1" baseline="-25000">
                        <a:solidFill>
                          <a:schemeClr val="accent2"/>
                        </a:solidFill>
                        <a:latin typeface="+mj-lt"/>
                      </a:rPr>
                      <a:t>2</a:t>
                    </a:r>
                    <a:r>
                      <a:rPr lang="en-US" b="1">
                        <a:solidFill>
                          <a:schemeClr val="accent2"/>
                        </a:solidFill>
                        <a:latin typeface="+mj-lt"/>
                      </a:rPr>
                      <a:t>e</a:t>
                    </a:r>
                    <a:endParaRPr lang="en-US" b="1" baseline="0">
                      <a:solidFill>
                        <a:schemeClr val="accent2"/>
                      </a:solidFill>
                      <a:latin typeface="+mj-lt"/>
                    </a:endParaRPr>
                  </a:p>
                  <a:p>
                    <a:pPr>
                      <a:defRPr b="1">
                        <a:solidFill>
                          <a:schemeClr val="accent2"/>
                        </a:solidFill>
                        <a:latin typeface="+mj-lt"/>
                      </a:defRPr>
                    </a:pPr>
                    <a:fld id="{DB66E48E-C18F-4016-927E-67DDC68097D0}" type="PERCENTAGE">
                      <a:rPr lang="en-US" b="1">
                        <a:solidFill>
                          <a:schemeClr val="accent2"/>
                        </a:solidFill>
                        <a:latin typeface="+mj-lt"/>
                      </a:rPr>
                      <a:pPr>
                        <a:defRPr b="1">
                          <a:solidFill>
                            <a:schemeClr val="accent2"/>
                          </a:solidFill>
                          <a:latin typeface="+mj-lt"/>
                        </a:defRPr>
                      </a:pPr>
                      <a:t>[POURCENTAGE]</a:t>
                    </a:fld>
                    <a:endParaRPr lang="fr-F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2"/>
                      </a:solidFill>
                      <a:latin typeface="+mj-lt"/>
                      <a:ea typeface="+mn-ea"/>
                      <a:cs typeface="+mn-cs"/>
                    </a:defRPr>
                  </a:pPr>
                  <a:endParaRPr lang="fr-FR"/>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3D1-424E-BC83-52BFC9A76C0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Résultats!$B$7:$B$8</c:f>
              <c:strCache>
                <c:ptCount val="2"/>
                <c:pt idx="0">
                  <c:v>Matériaux</c:v>
                </c:pt>
                <c:pt idx="1">
                  <c:v>Utilisation</c:v>
                </c:pt>
              </c:strCache>
            </c:strRef>
          </c:cat>
          <c:val>
            <c:numRef>
              <c:f>Résultats!$C$7:$C$8</c:f>
              <c:numCache>
                <c:formatCode>#\ ##0.0</c:formatCode>
                <c:ptCount val="2"/>
                <c:pt idx="0" formatCode="#\ ##0.000">
                  <c:v>0</c:v>
                </c:pt>
                <c:pt idx="1">
                  <c:v>0</c:v>
                </c:pt>
              </c:numCache>
            </c:numRef>
          </c:val>
          <c:extLst>
            <c:ext xmlns:c16="http://schemas.microsoft.com/office/drawing/2014/chart" uri="{C3380CC4-5D6E-409C-BE32-E72D297353CC}">
              <c16:uniqueId val="{00000004-E3D1-424E-BC83-52BFC9A76C01}"/>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showDLblsOverMax val="0"/>
    <c:extLst/>
  </c:chart>
  <c:spPr>
    <a:solidFill>
      <a:srgbClr val="FFFFFF"/>
    </a:solidFill>
    <a:ln w="9525" cap="flat" cmpd="sng" algn="ctr">
      <a:noFill/>
      <a:round/>
    </a:ln>
    <a:effectLst/>
  </c:spPr>
  <c:txPr>
    <a:bodyPr/>
    <a:lstStyle/>
    <a:p>
      <a:pPr>
        <a:defRPr sz="1200"/>
      </a:pPr>
      <a:endParaRPr lang="fr-FR"/>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j-lt"/>
                <a:ea typeface="+mn-ea"/>
                <a:cs typeface="+mn-cs"/>
              </a:defRPr>
            </a:pPr>
            <a:r>
              <a:rPr lang="fr-FR" sz="1400" b="1">
                <a:solidFill>
                  <a:schemeClr val="tx1"/>
                </a:solidFill>
                <a:latin typeface="+mj-lt"/>
              </a:rPr>
              <a:t>RÉPARTITION DE L'IMPACT</a:t>
            </a:r>
            <a:r>
              <a:rPr lang="fr-FR" sz="1400" b="1" baseline="0">
                <a:solidFill>
                  <a:schemeClr val="tx1"/>
                </a:solidFill>
                <a:latin typeface="+mj-lt"/>
              </a:rPr>
              <a:t> CARBONE DE LA FABRICATION DES MATÉRIAUX (en tCO</a:t>
            </a:r>
            <a:r>
              <a:rPr lang="fr-FR" sz="1400" b="1" baseline="-25000">
                <a:solidFill>
                  <a:schemeClr val="tx1"/>
                </a:solidFill>
                <a:latin typeface="+mj-lt"/>
              </a:rPr>
              <a:t>2</a:t>
            </a:r>
            <a:r>
              <a:rPr lang="fr-FR" sz="1400" b="1" baseline="0">
                <a:solidFill>
                  <a:schemeClr val="tx1"/>
                </a:solidFill>
                <a:latin typeface="+mj-lt"/>
              </a:rPr>
              <a:t>e)</a:t>
            </a:r>
            <a:endParaRPr lang="fr-FR" sz="1400" b="1">
              <a:solidFill>
                <a:schemeClr val="tx1"/>
              </a:solidFill>
              <a:latin typeface="+mj-l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j-lt"/>
              <a:ea typeface="+mn-ea"/>
              <a:cs typeface="+mn-cs"/>
            </a:defRPr>
          </a:pPr>
          <a:endParaRPr lang="fr-FR"/>
        </a:p>
      </c:txPr>
    </c:title>
    <c:autoTitleDeleted val="0"/>
    <c:plotArea>
      <c:layout>
        <c:manualLayout>
          <c:layoutTarget val="inner"/>
          <c:xMode val="edge"/>
          <c:yMode val="edge"/>
          <c:x val="0.11297362850494397"/>
          <c:y val="0.25941555355719809"/>
          <c:w val="0.55619512323261511"/>
          <c:h val="0.56113584687707918"/>
        </c:manualLayout>
      </c:layout>
      <c:barChart>
        <c:barDir val="col"/>
        <c:grouping val="stacked"/>
        <c:varyColors val="0"/>
        <c:ser>
          <c:idx val="0"/>
          <c:order val="0"/>
          <c:tx>
            <c:strRef>
              <c:f>Résultats!$B$21</c:f>
              <c:strCache>
                <c:ptCount val="1"/>
                <c:pt idx="0">
                  <c:v>Mât</c:v>
                </c:pt>
              </c:strCache>
            </c:strRef>
          </c:tx>
          <c:spPr>
            <a:solidFill>
              <a:schemeClr val="bg1">
                <a:lumMod val="75000"/>
              </a:schemeClr>
            </a:solidFill>
            <a:ln>
              <a:noFill/>
            </a:ln>
            <a:effectLst/>
          </c:spPr>
          <c:invertIfNegative val="0"/>
          <c:dLbls>
            <c:dLbl>
              <c:idx val="0"/>
              <c:tx>
                <c:rich>
                  <a:bodyPr/>
                  <a:lstStyle/>
                  <a:p>
                    <a:fld id="{49F6318B-601A-4956-8B5A-25B6637DB745}"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458-410C-A112-F8E5EB20B39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j-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Résultats!$C$20</c:f>
              <c:strCache>
                <c:ptCount val="1"/>
                <c:pt idx="0">
                  <c:v>Impact Carbone (en tCO2e)</c:v>
                </c:pt>
              </c:strCache>
            </c:strRef>
          </c:cat>
          <c:val>
            <c:numRef>
              <c:f>Résultats!$C$21</c:f>
              <c:numCache>
                <c:formatCode>#\ ##0.000</c:formatCode>
                <c:ptCount val="1"/>
                <c:pt idx="0">
                  <c:v>0</c:v>
                </c:pt>
              </c:numCache>
            </c:numRef>
          </c:val>
          <c:extLst>
            <c:ext xmlns:c15="http://schemas.microsoft.com/office/drawing/2012/chart" uri="{02D57815-91ED-43cb-92C2-25804820EDAC}">
              <c15:datalabelsRange>
                <c15:f>Résultats!$D$21</c15:f>
                <c15:dlblRangeCache>
                  <c:ptCount val="1"/>
                  <c:pt idx="0">
                    <c:v>0%</c:v>
                  </c:pt>
                </c15:dlblRangeCache>
              </c15:datalabelsRange>
            </c:ext>
            <c:ext xmlns:c16="http://schemas.microsoft.com/office/drawing/2014/chart" uri="{C3380CC4-5D6E-409C-BE32-E72D297353CC}">
              <c16:uniqueId val="{00000000-0458-410C-A112-F8E5EB20B398}"/>
            </c:ext>
          </c:extLst>
        </c:ser>
        <c:ser>
          <c:idx val="1"/>
          <c:order val="1"/>
          <c:tx>
            <c:strRef>
              <c:f>Résultats!$B$22</c:f>
              <c:strCache>
                <c:ptCount val="1"/>
                <c:pt idx="0">
                  <c:v>Luminaire</c:v>
                </c:pt>
              </c:strCache>
            </c:strRef>
          </c:tx>
          <c:spPr>
            <a:solidFill>
              <a:schemeClr val="accent4"/>
            </a:solidFill>
            <a:ln>
              <a:noFill/>
            </a:ln>
            <a:effectLst/>
          </c:spPr>
          <c:invertIfNegative val="0"/>
          <c:dLbls>
            <c:dLbl>
              <c:idx val="0"/>
              <c:tx>
                <c:rich>
                  <a:bodyPr/>
                  <a:lstStyle/>
                  <a:p>
                    <a:fld id="{9A3E75F5-7947-4FA7-A8C6-738CBF9CBAC2}"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458-410C-A112-F8E5EB20B39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j-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Résultats!$C$20</c:f>
              <c:strCache>
                <c:ptCount val="1"/>
                <c:pt idx="0">
                  <c:v>Impact Carbone (en tCO2e)</c:v>
                </c:pt>
              </c:strCache>
            </c:strRef>
          </c:cat>
          <c:val>
            <c:numRef>
              <c:f>Résultats!$C$22</c:f>
              <c:numCache>
                <c:formatCode>#\ ##0.000</c:formatCode>
                <c:ptCount val="1"/>
                <c:pt idx="0">
                  <c:v>0</c:v>
                </c:pt>
              </c:numCache>
            </c:numRef>
          </c:val>
          <c:extLst>
            <c:ext xmlns:c15="http://schemas.microsoft.com/office/drawing/2012/chart" uri="{02D57815-91ED-43cb-92C2-25804820EDAC}">
              <c15:datalabelsRange>
                <c15:f>Résultats!$D$22</c15:f>
                <c15:dlblRangeCache>
                  <c:ptCount val="1"/>
                  <c:pt idx="0">
                    <c:v>0%</c:v>
                  </c:pt>
                </c15:dlblRangeCache>
              </c15:datalabelsRange>
            </c:ext>
            <c:ext xmlns:c16="http://schemas.microsoft.com/office/drawing/2014/chart" uri="{C3380CC4-5D6E-409C-BE32-E72D297353CC}">
              <c16:uniqueId val="{00000001-0458-410C-A112-F8E5EB20B398}"/>
            </c:ext>
          </c:extLst>
        </c:ser>
        <c:ser>
          <c:idx val="2"/>
          <c:order val="2"/>
          <c:tx>
            <c:strRef>
              <c:f>Résultats!$B$23</c:f>
              <c:strCache>
                <c:ptCount val="1"/>
                <c:pt idx="0">
                  <c:v>Photovoltaïque</c:v>
                </c:pt>
              </c:strCache>
            </c:strRef>
          </c:tx>
          <c:spPr>
            <a:solidFill>
              <a:schemeClr val="accent5">
                <a:lumMod val="25000"/>
              </a:schemeClr>
            </a:solidFill>
            <a:ln>
              <a:noFill/>
            </a:ln>
            <a:effectLst/>
          </c:spPr>
          <c:invertIfNegative val="0"/>
          <c:dLbls>
            <c:dLbl>
              <c:idx val="0"/>
              <c:tx>
                <c:rich>
                  <a:bodyPr/>
                  <a:lstStyle/>
                  <a:p>
                    <a:fld id="{B8F85453-B016-4112-B8C7-730FA28A3D92}"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458-410C-A112-F8E5EB20B39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j-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Résultats!$C$20</c:f>
              <c:strCache>
                <c:ptCount val="1"/>
                <c:pt idx="0">
                  <c:v>Impact Carbone (en tCO2e)</c:v>
                </c:pt>
              </c:strCache>
            </c:strRef>
          </c:cat>
          <c:val>
            <c:numRef>
              <c:f>Résultats!$C$23</c:f>
              <c:numCache>
                <c:formatCode>#\ ##0.000</c:formatCode>
                <c:ptCount val="1"/>
                <c:pt idx="0">
                  <c:v>0</c:v>
                </c:pt>
              </c:numCache>
            </c:numRef>
          </c:val>
          <c:extLst>
            <c:ext xmlns:c15="http://schemas.microsoft.com/office/drawing/2012/chart" uri="{02D57815-91ED-43cb-92C2-25804820EDAC}">
              <c15:datalabelsRange>
                <c15:f>Résultats!$D$23</c15:f>
                <c15:dlblRangeCache>
                  <c:ptCount val="1"/>
                  <c:pt idx="0">
                    <c:v>0%</c:v>
                  </c:pt>
                </c15:dlblRangeCache>
              </c15:datalabelsRange>
            </c:ext>
            <c:ext xmlns:c16="http://schemas.microsoft.com/office/drawing/2014/chart" uri="{C3380CC4-5D6E-409C-BE32-E72D297353CC}">
              <c16:uniqueId val="{00000002-0458-410C-A112-F8E5EB20B398}"/>
            </c:ext>
          </c:extLst>
        </c:ser>
        <c:dLbls>
          <c:dLblPos val="ctr"/>
          <c:showLegendKey val="0"/>
          <c:showVal val="1"/>
          <c:showCatName val="0"/>
          <c:showSerName val="0"/>
          <c:showPercent val="0"/>
          <c:showBubbleSize val="0"/>
        </c:dLbls>
        <c:gapWidth val="150"/>
        <c:overlap val="100"/>
        <c:axId val="1565963872"/>
        <c:axId val="1565964832"/>
      </c:barChart>
      <c:catAx>
        <c:axId val="156596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65964832"/>
        <c:crosses val="autoZero"/>
        <c:auto val="1"/>
        <c:lblAlgn val="ctr"/>
        <c:lblOffset val="100"/>
        <c:noMultiLvlLbl val="0"/>
      </c:catAx>
      <c:valAx>
        <c:axId val="1565964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Émissions de GES (en tCO</a:t>
                </a:r>
                <a:r>
                  <a:rPr lang="fr-FR" baseline="-25000"/>
                  <a:t>2</a:t>
                </a:r>
                <a:r>
                  <a:rPr lang="fr-FR"/>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65963872"/>
        <c:crosses val="autoZero"/>
        <c:crossBetween val="between"/>
      </c:valAx>
      <c:spPr>
        <a:noFill/>
        <a:ln>
          <a:noFill/>
        </a:ln>
        <a:effectLst/>
      </c:spPr>
    </c:plotArea>
    <c:legend>
      <c:legendPos val="b"/>
      <c:layout>
        <c:manualLayout>
          <c:xMode val="edge"/>
          <c:yMode val="edge"/>
          <c:x val="0.73277162289659581"/>
          <c:y val="0.36711666264558163"/>
          <c:w val="0.23504035515160271"/>
          <c:h val="0.3495854626806746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j-lt"/>
                <a:ea typeface="+mn-ea"/>
                <a:cs typeface="+mn-cs"/>
              </a:defRPr>
            </a:pPr>
            <a:r>
              <a:rPr lang="fr-FR" sz="1400" b="1">
                <a:solidFill>
                  <a:schemeClr val="tx1"/>
                </a:solidFill>
                <a:latin typeface="+mj-lt"/>
              </a:rPr>
              <a:t>RÉPARTITION DE L'IMPACT</a:t>
            </a:r>
            <a:r>
              <a:rPr lang="fr-FR" sz="1400" b="1" baseline="0">
                <a:solidFill>
                  <a:schemeClr val="tx1"/>
                </a:solidFill>
                <a:latin typeface="+mj-lt"/>
              </a:rPr>
              <a:t> CARBONE DE LA FABRICATION DU MÂT (en tCO</a:t>
            </a:r>
            <a:r>
              <a:rPr lang="fr-FR" sz="1400" b="1" baseline="-25000">
                <a:solidFill>
                  <a:schemeClr val="tx1"/>
                </a:solidFill>
                <a:latin typeface="+mj-lt"/>
              </a:rPr>
              <a:t>2</a:t>
            </a:r>
            <a:r>
              <a:rPr lang="fr-FR" sz="1400" b="1" baseline="0">
                <a:solidFill>
                  <a:schemeClr val="tx1"/>
                </a:solidFill>
                <a:latin typeface="+mj-lt"/>
              </a:rPr>
              <a:t>e)</a:t>
            </a:r>
            <a:endParaRPr lang="fr-FR" sz="1400" b="1">
              <a:solidFill>
                <a:schemeClr val="tx1"/>
              </a:solidFill>
              <a:latin typeface="+mj-l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j-lt"/>
              <a:ea typeface="+mn-ea"/>
              <a:cs typeface="+mn-cs"/>
            </a:defRPr>
          </a:pPr>
          <a:endParaRPr lang="fr-FR"/>
        </a:p>
      </c:txPr>
    </c:title>
    <c:autoTitleDeleted val="0"/>
    <c:plotArea>
      <c:layout>
        <c:manualLayout>
          <c:layoutTarget val="inner"/>
          <c:xMode val="edge"/>
          <c:yMode val="edge"/>
          <c:x val="0.16029439291051301"/>
          <c:y val="0.25941555355719809"/>
          <c:w val="0.61115612072821035"/>
          <c:h val="0.62172441607760043"/>
        </c:manualLayout>
      </c:layout>
      <c:barChart>
        <c:barDir val="col"/>
        <c:grouping val="stacked"/>
        <c:varyColors val="0"/>
        <c:ser>
          <c:idx val="0"/>
          <c:order val="0"/>
          <c:tx>
            <c:strRef>
              <c:f>Résultats!$M$21</c:f>
              <c:strCache>
                <c:ptCount val="1"/>
                <c:pt idx="0">
                  <c:v>Mât</c:v>
                </c:pt>
              </c:strCache>
            </c:strRef>
          </c:tx>
          <c:spPr>
            <a:solidFill>
              <a:schemeClr val="tx1">
                <a:lumMod val="75000"/>
                <a:lumOff val="25000"/>
              </a:schemeClr>
            </a:solidFill>
            <a:ln>
              <a:noFill/>
            </a:ln>
            <a:effectLst/>
          </c:spPr>
          <c:invertIfNegative val="0"/>
          <c:dLbls>
            <c:dLbl>
              <c:idx val="0"/>
              <c:tx>
                <c:rich>
                  <a:bodyPr/>
                  <a:lstStyle/>
                  <a:p>
                    <a:fld id="{431AB6E3-0C61-476B-B577-A38593E39E8B}"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B3F-492A-AC37-F188709DAD0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j-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Résultats!$N$20</c:f>
              <c:strCache>
                <c:ptCount val="1"/>
                <c:pt idx="0">
                  <c:v>Impact Carbone (en tCO2e)</c:v>
                </c:pt>
              </c:strCache>
            </c:strRef>
          </c:cat>
          <c:val>
            <c:numRef>
              <c:f>Résultats!$N$21</c:f>
              <c:numCache>
                <c:formatCode>#\ ##0.000</c:formatCode>
                <c:ptCount val="1"/>
                <c:pt idx="0">
                  <c:v>0</c:v>
                </c:pt>
              </c:numCache>
            </c:numRef>
          </c:val>
          <c:extLst>
            <c:ext xmlns:c15="http://schemas.microsoft.com/office/drawing/2012/chart" uri="{02D57815-91ED-43cb-92C2-25804820EDAC}">
              <c15:datalabelsRange>
                <c15:f>Résultats!$O$21</c15:f>
                <c15:dlblRangeCache>
                  <c:ptCount val="1"/>
                  <c:pt idx="0">
                    <c:v>0%</c:v>
                  </c:pt>
                </c15:dlblRangeCache>
              </c15:datalabelsRange>
            </c:ext>
            <c:ext xmlns:c16="http://schemas.microsoft.com/office/drawing/2014/chart" uri="{C3380CC4-5D6E-409C-BE32-E72D297353CC}">
              <c16:uniqueId val="{00000001-CB3F-492A-AC37-F188709DAD02}"/>
            </c:ext>
          </c:extLst>
        </c:ser>
        <c:ser>
          <c:idx val="1"/>
          <c:order val="1"/>
          <c:tx>
            <c:strRef>
              <c:f>Résultats!$M$22</c:f>
              <c:strCache>
                <c:ptCount val="1"/>
                <c:pt idx="0">
                  <c:v>Crosse</c:v>
                </c:pt>
              </c:strCache>
            </c:strRef>
          </c:tx>
          <c:spPr>
            <a:solidFill>
              <a:schemeClr val="bg1">
                <a:lumMod val="65000"/>
              </a:schemeClr>
            </a:solidFill>
            <a:ln>
              <a:noFill/>
            </a:ln>
            <a:effectLst/>
          </c:spPr>
          <c:invertIfNegative val="0"/>
          <c:dLbls>
            <c:dLbl>
              <c:idx val="0"/>
              <c:layout>
                <c:manualLayout>
                  <c:x val="0.16144749537202832"/>
                  <c:y val="0"/>
                </c:manualLayout>
              </c:layout>
              <c:tx>
                <c:rich>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j-lt"/>
                        <a:ea typeface="+mn-ea"/>
                        <a:cs typeface="+mn-cs"/>
                      </a:defRPr>
                    </a:pPr>
                    <a:fld id="{46334FF0-7CA4-442E-8743-B1D7C07516F2}" type="CELLRANGE">
                      <a:rPr lang="en-US">
                        <a:solidFill>
                          <a:schemeClr val="tx1"/>
                        </a:solidFill>
                      </a:rPr>
                      <a:pPr>
                        <a:defRPr sz="1050" b="1">
                          <a:solidFill>
                            <a:schemeClr val="tx1"/>
                          </a:solidFill>
                          <a:latin typeface="+mj-lt"/>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j-lt"/>
                      <a:ea typeface="+mn-ea"/>
                      <a:cs typeface="+mn-cs"/>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B3F-492A-AC37-F188709DAD0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j-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Résultats!$N$20</c:f>
              <c:strCache>
                <c:ptCount val="1"/>
                <c:pt idx="0">
                  <c:v>Impact Carbone (en tCO2e)</c:v>
                </c:pt>
              </c:strCache>
            </c:strRef>
          </c:cat>
          <c:val>
            <c:numRef>
              <c:f>Résultats!$N$22</c:f>
              <c:numCache>
                <c:formatCode>#\ ##0.000</c:formatCode>
                <c:ptCount val="1"/>
                <c:pt idx="0">
                  <c:v>0</c:v>
                </c:pt>
              </c:numCache>
            </c:numRef>
          </c:val>
          <c:extLst>
            <c:ext xmlns:c15="http://schemas.microsoft.com/office/drawing/2012/chart" uri="{02D57815-91ED-43cb-92C2-25804820EDAC}">
              <c15:datalabelsRange>
                <c15:f>Résultats!$O$22</c15:f>
                <c15:dlblRangeCache>
                  <c:ptCount val="1"/>
                  <c:pt idx="0">
                    <c:v>0%</c:v>
                  </c:pt>
                </c15:dlblRangeCache>
              </c15:datalabelsRange>
            </c:ext>
            <c:ext xmlns:c16="http://schemas.microsoft.com/office/drawing/2014/chart" uri="{C3380CC4-5D6E-409C-BE32-E72D297353CC}">
              <c16:uniqueId val="{00000003-CB3F-492A-AC37-F188709DAD02}"/>
            </c:ext>
          </c:extLst>
        </c:ser>
        <c:ser>
          <c:idx val="2"/>
          <c:order val="2"/>
          <c:tx>
            <c:strRef>
              <c:f>Résultats!$M$23</c:f>
              <c:strCache>
                <c:ptCount val="1"/>
                <c:pt idx="0">
                  <c:v>Tiges de scellement</c:v>
                </c:pt>
              </c:strCache>
            </c:strRef>
          </c:tx>
          <c:spPr>
            <a:solidFill>
              <a:schemeClr val="bg1">
                <a:lumMod val="75000"/>
              </a:schemeClr>
            </a:solidFill>
            <a:ln>
              <a:noFill/>
            </a:ln>
            <a:effectLst/>
          </c:spPr>
          <c:invertIfNegative val="0"/>
          <c:dLbls>
            <c:dLbl>
              <c:idx val="0"/>
              <c:layout>
                <c:manualLayout>
                  <c:x val="-0.16701465038485702"/>
                  <c:y val="0"/>
                </c:manualLayout>
              </c:layout>
              <c:tx>
                <c:rich>
                  <a:bodyPr/>
                  <a:lstStyle/>
                  <a:p>
                    <a:fld id="{B6E52B05-2BF9-4B1F-8A82-10EB8FC65B94}"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B3F-492A-AC37-F188709DAD0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j-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Résultats!$N$20</c:f>
              <c:strCache>
                <c:ptCount val="1"/>
                <c:pt idx="0">
                  <c:v>Impact Carbone (en tCO2e)</c:v>
                </c:pt>
              </c:strCache>
            </c:strRef>
          </c:cat>
          <c:val>
            <c:numRef>
              <c:f>Résultats!$M$23</c:f>
              <c:numCache>
                <c:formatCode>General</c:formatCode>
                <c:ptCount val="1"/>
                <c:pt idx="0">
                  <c:v>0</c:v>
                </c:pt>
              </c:numCache>
            </c:numRef>
          </c:val>
          <c:extLst>
            <c:ext xmlns:c15="http://schemas.microsoft.com/office/drawing/2012/chart" uri="{02D57815-91ED-43cb-92C2-25804820EDAC}">
              <c15:datalabelsRange>
                <c15:f>Résultats!$O$23</c15:f>
                <c15:dlblRangeCache>
                  <c:ptCount val="1"/>
                  <c:pt idx="0">
                    <c:v>0%</c:v>
                  </c:pt>
                </c15:dlblRangeCache>
              </c15:datalabelsRange>
            </c:ext>
            <c:ext xmlns:c16="http://schemas.microsoft.com/office/drawing/2014/chart" uri="{C3380CC4-5D6E-409C-BE32-E72D297353CC}">
              <c16:uniqueId val="{00000005-CB3F-492A-AC37-F188709DAD02}"/>
            </c:ext>
          </c:extLst>
        </c:ser>
        <c:dLbls>
          <c:dLblPos val="ctr"/>
          <c:showLegendKey val="0"/>
          <c:showVal val="1"/>
          <c:showCatName val="0"/>
          <c:showSerName val="0"/>
          <c:showPercent val="0"/>
          <c:showBubbleSize val="0"/>
        </c:dLbls>
        <c:gapWidth val="150"/>
        <c:overlap val="100"/>
        <c:axId val="1565963872"/>
        <c:axId val="1565964832"/>
      </c:barChart>
      <c:catAx>
        <c:axId val="156596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65964832"/>
        <c:crosses val="autoZero"/>
        <c:auto val="1"/>
        <c:lblAlgn val="ctr"/>
        <c:lblOffset val="100"/>
        <c:noMultiLvlLbl val="0"/>
      </c:catAx>
      <c:valAx>
        <c:axId val="156596483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Émissions de GES (en tCO</a:t>
                </a:r>
                <a:r>
                  <a:rPr lang="fr-FR" baseline="-25000"/>
                  <a:t>2</a:t>
                </a:r>
                <a:r>
                  <a:rPr lang="fr-FR"/>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65963872"/>
        <c:crosses val="autoZero"/>
        <c:crossBetween val="between"/>
        <c:majorUnit val="0.25"/>
      </c:valAx>
      <c:spPr>
        <a:noFill/>
        <a:ln>
          <a:noFill/>
        </a:ln>
        <a:effectLst/>
      </c:spPr>
    </c:plotArea>
    <c:legend>
      <c:legendPos val="b"/>
      <c:legendEntry>
        <c:idx val="2"/>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fr-FR"/>
          </a:p>
        </c:txPr>
      </c:legendEntry>
      <c:layout>
        <c:manualLayout>
          <c:xMode val="edge"/>
          <c:yMode val="edge"/>
          <c:x val="0.73277151825961095"/>
          <c:y val="0.32092648050446959"/>
          <c:w val="0.23504035515160271"/>
          <c:h val="0.4927750552645533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j-lt"/>
                <a:ea typeface="+mn-ea"/>
                <a:cs typeface="+mn-cs"/>
              </a:defRPr>
            </a:pPr>
            <a:r>
              <a:rPr lang="fr-FR" sz="1400" b="1">
                <a:solidFill>
                  <a:schemeClr val="tx1"/>
                </a:solidFill>
                <a:latin typeface="+mj-lt"/>
              </a:rPr>
              <a:t>RÉPARTITION DE L'IMPACT</a:t>
            </a:r>
            <a:r>
              <a:rPr lang="fr-FR" sz="1400" b="1" baseline="0">
                <a:solidFill>
                  <a:schemeClr val="tx1"/>
                </a:solidFill>
                <a:latin typeface="+mj-lt"/>
              </a:rPr>
              <a:t> CARBONE DE LA FABRICATION DU LUMINAIRE (en tCO</a:t>
            </a:r>
            <a:r>
              <a:rPr lang="fr-FR" sz="1400" b="1" baseline="-25000">
                <a:solidFill>
                  <a:schemeClr val="tx1"/>
                </a:solidFill>
                <a:latin typeface="+mj-lt"/>
              </a:rPr>
              <a:t>2</a:t>
            </a:r>
            <a:r>
              <a:rPr lang="fr-FR" sz="1400" b="1" baseline="0">
                <a:solidFill>
                  <a:schemeClr val="tx1"/>
                </a:solidFill>
                <a:latin typeface="+mj-lt"/>
              </a:rPr>
              <a:t>e)</a:t>
            </a:r>
            <a:endParaRPr lang="fr-FR" sz="1400" b="1">
              <a:solidFill>
                <a:schemeClr val="tx1"/>
              </a:solidFill>
              <a:latin typeface="+mj-l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j-lt"/>
              <a:ea typeface="+mn-ea"/>
              <a:cs typeface="+mn-cs"/>
            </a:defRPr>
          </a:pPr>
          <a:endParaRPr lang="fr-FR"/>
        </a:p>
      </c:txPr>
    </c:title>
    <c:autoTitleDeleted val="0"/>
    <c:plotArea>
      <c:layout>
        <c:manualLayout>
          <c:layoutTarget val="inner"/>
          <c:xMode val="edge"/>
          <c:yMode val="edge"/>
          <c:x val="0.16029439291051301"/>
          <c:y val="0.25941555355719809"/>
          <c:w val="0.49495646440944102"/>
          <c:h val="0.56113584687707918"/>
        </c:manualLayout>
      </c:layout>
      <c:barChart>
        <c:barDir val="col"/>
        <c:grouping val="stacked"/>
        <c:varyColors val="0"/>
        <c:ser>
          <c:idx val="0"/>
          <c:order val="0"/>
          <c:tx>
            <c:strRef>
              <c:f>Résultats!$M$31</c:f>
              <c:strCache>
                <c:ptCount val="1"/>
                <c:pt idx="0">
                  <c:v>Vasque</c:v>
                </c:pt>
              </c:strCache>
            </c:strRef>
          </c:tx>
          <c:spPr>
            <a:solidFill>
              <a:schemeClr val="accent4">
                <a:lumMod val="75000"/>
              </a:schemeClr>
            </a:solidFill>
            <a:ln>
              <a:noFill/>
            </a:ln>
            <a:effectLst/>
          </c:spPr>
          <c:invertIfNegative val="0"/>
          <c:dLbls>
            <c:dLbl>
              <c:idx val="0"/>
              <c:tx>
                <c:rich>
                  <a:bodyPr/>
                  <a:lstStyle/>
                  <a:p>
                    <a:fld id="{F06D8281-EBA8-4F51-83E1-833B8104B84F}"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20E-43BE-B54F-009D75A60FB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j-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Résultats!$N$30</c:f>
              <c:strCache>
                <c:ptCount val="1"/>
                <c:pt idx="0">
                  <c:v>Impact Carbone (en tCO2e)</c:v>
                </c:pt>
              </c:strCache>
            </c:strRef>
          </c:cat>
          <c:val>
            <c:numRef>
              <c:f>Résultats!$N$31</c:f>
              <c:numCache>
                <c:formatCode>#,##0.00</c:formatCode>
                <c:ptCount val="1"/>
                <c:pt idx="0">
                  <c:v>0</c:v>
                </c:pt>
              </c:numCache>
            </c:numRef>
          </c:val>
          <c:extLst>
            <c:ext xmlns:c15="http://schemas.microsoft.com/office/drawing/2012/chart" uri="{02D57815-91ED-43cb-92C2-25804820EDAC}">
              <c15:datalabelsRange>
                <c15:f>Résultats!$O$31</c15:f>
                <c15:dlblRangeCache>
                  <c:ptCount val="1"/>
                  <c:pt idx="0">
                    <c:v>0%</c:v>
                  </c:pt>
                </c15:dlblRangeCache>
              </c15:datalabelsRange>
            </c:ext>
            <c:ext xmlns:c16="http://schemas.microsoft.com/office/drawing/2014/chart" uri="{C3380CC4-5D6E-409C-BE32-E72D297353CC}">
              <c16:uniqueId val="{00000001-D20E-43BE-B54F-009D75A60FBD}"/>
            </c:ext>
          </c:extLst>
        </c:ser>
        <c:ser>
          <c:idx val="1"/>
          <c:order val="1"/>
          <c:tx>
            <c:strRef>
              <c:f>Résultats!$M$32</c:f>
              <c:strCache>
                <c:ptCount val="1"/>
                <c:pt idx="0">
                  <c:v>Carcasse / Enveloppe</c:v>
                </c:pt>
              </c:strCache>
            </c:strRef>
          </c:tx>
          <c:spPr>
            <a:solidFill>
              <a:schemeClr val="accent4"/>
            </a:solidFill>
            <a:ln>
              <a:noFill/>
            </a:ln>
            <a:effectLst/>
          </c:spPr>
          <c:invertIfNegative val="0"/>
          <c:dLbls>
            <c:dLbl>
              <c:idx val="0"/>
              <c:layout>
                <c:manualLayout>
                  <c:x val="0"/>
                  <c:y val="-4.4233501339369522E-3"/>
                </c:manualLayout>
              </c:layout>
              <c:tx>
                <c:rich>
                  <a:bodyPr/>
                  <a:lstStyle/>
                  <a:p>
                    <a:fld id="{4051495C-8261-4817-9325-B4AFC7535709}"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20E-43BE-B54F-009D75A60FB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j-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Résultats!$N$30</c:f>
              <c:strCache>
                <c:ptCount val="1"/>
                <c:pt idx="0">
                  <c:v>Impact Carbone (en tCO2e)</c:v>
                </c:pt>
              </c:strCache>
            </c:strRef>
          </c:cat>
          <c:val>
            <c:numRef>
              <c:f>Résultats!$N$32</c:f>
              <c:numCache>
                <c:formatCode>#,##0.00</c:formatCode>
                <c:ptCount val="1"/>
                <c:pt idx="0">
                  <c:v>0</c:v>
                </c:pt>
              </c:numCache>
            </c:numRef>
          </c:val>
          <c:extLst>
            <c:ext xmlns:c15="http://schemas.microsoft.com/office/drawing/2012/chart" uri="{02D57815-91ED-43cb-92C2-25804820EDAC}">
              <c15:datalabelsRange>
                <c15:f>Résultats!$O$32</c15:f>
                <c15:dlblRangeCache>
                  <c:ptCount val="1"/>
                  <c:pt idx="0">
                    <c:v>0%</c:v>
                  </c:pt>
                </c15:dlblRangeCache>
              </c15:datalabelsRange>
            </c:ext>
            <c:ext xmlns:c16="http://schemas.microsoft.com/office/drawing/2014/chart" uri="{C3380CC4-5D6E-409C-BE32-E72D297353CC}">
              <c16:uniqueId val="{00000003-D20E-43BE-B54F-009D75A60FBD}"/>
            </c:ext>
          </c:extLst>
        </c:ser>
        <c:ser>
          <c:idx val="2"/>
          <c:order val="2"/>
          <c:tx>
            <c:strRef>
              <c:f>Résultats!$M$33</c:f>
              <c:strCache>
                <c:ptCount val="1"/>
                <c:pt idx="0">
                  <c:v>Électronique</c:v>
                </c:pt>
              </c:strCache>
            </c:strRef>
          </c:tx>
          <c:spPr>
            <a:solidFill>
              <a:schemeClr val="accent3"/>
            </a:solidFill>
            <a:ln>
              <a:noFill/>
            </a:ln>
            <a:effectLst/>
          </c:spPr>
          <c:invertIfNegative val="0"/>
          <c:dLbls>
            <c:dLbl>
              <c:idx val="0"/>
              <c:tx>
                <c:rich>
                  <a:bodyPr/>
                  <a:lstStyle/>
                  <a:p>
                    <a:fld id="{FC098929-B564-4291-92EC-0062594C1B75}"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20E-43BE-B54F-009D75A60FB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j-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Résultats!$N$30</c:f>
              <c:strCache>
                <c:ptCount val="1"/>
                <c:pt idx="0">
                  <c:v>Impact Carbone (en tCO2e)</c:v>
                </c:pt>
              </c:strCache>
            </c:strRef>
          </c:cat>
          <c:val>
            <c:numRef>
              <c:f>Résultats!$N$33</c:f>
              <c:numCache>
                <c:formatCode>#,##0.00</c:formatCode>
                <c:ptCount val="1"/>
                <c:pt idx="0">
                  <c:v>0</c:v>
                </c:pt>
              </c:numCache>
            </c:numRef>
          </c:val>
          <c:extLst>
            <c:ext xmlns:c15="http://schemas.microsoft.com/office/drawing/2012/chart" uri="{02D57815-91ED-43cb-92C2-25804820EDAC}">
              <c15:datalabelsRange>
                <c15:f>Résultats!$O$33</c15:f>
                <c15:dlblRangeCache>
                  <c:ptCount val="1"/>
                  <c:pt idx="0">
                    <c:v>0%</c:v>
                  </c:pt>
                </c15:dlblRangeCache>
              </c15:datalabelsRange>
            </c:ext>
            <c:ext xmlns:c16="http://schemas.microsoft.com/office/drawing/2014/chart" uri="{C3380CC4-5D6E-409C-BE32-E72D297353CC}">
              <c16:uniqueId val="{00000005-D20E-43BE-B54F-009D75A60FBD}"/>
            </c:ext>
          </c:extLst>
        </c:ser>
        <c:dLbls>
          <c:dLblPos val="ctr"/>
          <c:showLegendKey val="0"/>
          <c:showVal val="1"/>
          <c:showCatName val="0"/>
          <c:showSerName val="0"/>
          <c:showPercent val="0"/>
          <c:showBubbleSize val="0"/>
        </c:dLbls>
        <c:gapWidth val="150"/>
        <c:overlap val="100"/>
        <c:axId val="1565963872"/>
        <c:axId val="1565964832"/>
      </c:barChart>
      <c:catAx>
        <c:axId val="156596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65964832"/>
        <c:crosses val="autoZero"/>
        <c:auto val="1"/>
        <c:lblAlgn val="ctr"/>
        <c:lblOffset val="100"/>
        <c:noMultiLvlLbl val="0"/>
      </c:catAx>
      <c:valAx>
        <c:axId val="1565964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Émissions de GES (en tCO</a:t>
                </a:r>
                <a:r>
                  <a:rPr lang="fr-FR" baseline="-25000"/>
                  <a:t>2</a:t>
                </a:r>
                <a:r>
                  <a:rPr lang="fr-FR"/>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6596387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fr-FR"/>
          </a:p>
        </c:txPr>
      </c:legendEntry>
      <c:layout>
        <c:manualLayout>
          <c:xMode val="edge"/>
          <c:yMode val="edge"/>
          <c:x val="0.73277151825961095"/>
          <c:y val="0.32092648050446959"/>
          <c:w val="0.23504035515160271"/>
          <c:h val="0.4927750552645533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j-lt"/>
                <a:ea typeface="+mn-ea"/>
                <a:cs typeface="+mn-cs"/>
              </a:defRPr>
            </a:pPr>
            <a:r>
              <a:rPr lang="fr-FR" sz="1400" b="1">
                <a:solidFill>
                  <a:schemeClr val="tx1"/>
                </a:solidFill>
                <a:latin typeface="+mj-lt"/>
              </a:rPr>
              <a:t>RÉPARTITION DE L'IMPACT</a:t>
            </a:r>
            <a:r>
              <a:rPr lang="fr-FR" sz="1400" b="1" baseline="0">
                <a:solidFill>
                  <a:schemeClr val="tx1"/>
                </a:solidFill>
                <a:latin typeface="+mj-lt"/>
              </a:rPr>
              <a:t> CARBONE DE LA FABRICATION DU PANNEAU PV (en tCO</a:t>
            </a:r>
            <a:r>
              <a:rPr lang="fr-FR" sz="1400" b="1" baseline="-25000">
                <a:solidFill>
                  <a:schemeClr val="tx1"/>
                </a:solidFill>
                <a:latin typeface="+mj-lt"/>
              </a:rPr>
              <a:t>2</a:t>
            </a:r>
            <a:r>
              <a:rPr lang="fr-FR" sz="1400" b="1" baseline="0">
                <a:solidFill>
                  <a:schemeClr val="tx1"/>
                </a:solidFill>
                <a:latin typeface="+mj-lt"/>
              </a:rPr>
              <a:t>e)</a:t>
            </a:r>
            <a:endParaRPr lang="fr-FR" sz="1400" b="1">
              <a:solidFill>
                <a:schemeClr val="tx1"/>
              </a:solidFill>
              <a:latin typeface="+mj-l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j-lt"/>
              <a:ea typeface="+mn-ea"/>
              <a:cs typeface="+mn-cs"/>
            </a:defRPr>
          </a:pPr>
          <a:endParaRPr lang="fr-FR"/>
        </a:p>
      </c:txPr>
    </c:title>
    <c:autoTitleDeleted val="0"/>
    <c:plotArea>
      <c:layout>
        <c:manualLayout>
          <c:layoutTarget val="inner"/>
          <c:xMode val="edge"/>
          <c:yMode val="edge"/>
          <c:x val="0.16029439291051301"/>
          <c:y val="0.25941555355719809"/>
          <c:w val="0.49495646440944102"/>
          <c:h val="0.56113584687707918"/>
        </c:manualLayout>
      </c:layout>
      <c:barChart>
        <c:barDir val="col"/>
        <c:grouping val="stacked"/>
        <c:varyColors val="0"/>
        <c:ser>
          <c:idx val="0"/>
          <c:order val="0"/>
          <c:tx>
            <c:strRef>
              <c:f>Résultats!$M$41</c:f>
              <c:strCache>
                <c:ptCount val="1"/>
                <c:pt idx="0">
                  <c:v>Batterie</c:v>
                </c:pt>
              </c:strCache>
            </c:strRef>
          </c:tx>
          <c:spPr>
            <a:solidFill>
              <a:schemeClr val="accent5">
                <a:lumMod val="25000"/>
              </a:schemeClr>
            </a:solidFill>
            <a:ln>
              <a:noFill/>
            </a:ln>
            <a:effectLst/>
          </c:spPr>
          <c:invertIfNegative val="0"/>
          <c:dLbls>
            <c:dLbl>
              <c:idx val="0"/>
              <c:tx>
                <c:rich>
                  <a:bodyPr/>
                  <a:lstStyle/>
                  <a:p>
                    <a:fld id="{950A110E-8B33-44C1-9593-8DCCDD573991}"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0B3-48D1-B181-F60B7F822D4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j-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Résultats!$N$40</c:f>
              <c:strCache>
                <c:ptCount val="1"/>
                <c:pt idx="0">
                  <c:v>Impact Carbone (en tCO2e)</c:v>
                </c:pt>
              </c:strCache>
            </c:strRef>
          </c:cat>
          <c:val>
            <c:numRef>
              <c:f>Résultats!$N$41</c:f>
              <c:numCache>
                <c:formatCode>#\ ##0.000</c:formatCode>
                <c:ptCount val="1"/>
                <c:pt idx="0">
                  <c:v>0</c:v>
                </c:pt>
              </c:numCache>
            </c:numRef>
          </c:val>
          <c:extLst>
            <c:ext xmlns:c15="http://schemas.microsoft.com/office/drawing/2012/chart" uri="{02D57815-91ED-43cb-92C2-25804820EDAC}">
              <c15:datalabelsRange>
                <c15:f>Résultats!$O$41</c15:f>
                <c15:dlblRangeCache>
                  <c:ptCount val="1"/>
                  <c:pt idx="0">
                    <c:v>0%</c:v>
                  </c:pt>
                </c15:dlblRangeCache>
              </c15:datalabelsRange>
            </c:ext>
            <c:ext xmlns:c16="http://schemas.microsoft.com/office/drawing/2014/chart" uri="{C3380CC4-5D6E-409C-BE32-E72D297353CC}">
              <c16:uniqueId val="{00000001-70B3-48D1-B181-F60B7F822D4E}"/>
            </c:ext>
          </c:extLst>
        </c:ser>
        <c:ser>
          <c:idx val="1"/>
          <c:order val="1"/>
          <c:tx>
            <c:strRef>
              <c:f>Résultats!$M$42</c:f>
              <c:strCache>
                <c:ptCount val="1"/>
                <c:pt idx="0">
                  <c:v>Panneau photovoltaïque</c:v>
                </c:pt>
              </c:strCache>
            </c:strRef>
          </c:tx>
          <c:spPr>
            <a:solidFill>
              <a:schemeClr val="accent5">
                <a:lumMod val="50000"/>
              </a:schemeClr>
            </a:solidFill>
            <a:ln>
              <a:noFill/>
            </a:ln>
            <a:effectLst/>
          </c:spPr>
          <c:invertIfNegative val="0"/>
          <c:dLbls>
            <c:dLbl>
              <c:idx val="0"/>
              <c:tx>
                <c:rich>
                  <a:bodyPr/>
                  <a:lstStyle/>
                  <a:p>
                    <a:fld id="{27D3BA60-591F-473D-B958-EE97445FC27E}"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0B3-48D1-B181-F60B7F822D4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j-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Résultats!$N$40</c:f>
              <c:strCache>
                <c:ptCount val="1"/>
                <c:pt idx="0">
                  <c:v>Impact Carbone (en tCO2e)</c:v>
                </c:pt>
              </c:strCache>
            </c:strRef>
          </c:cat>
          <c:val>
            <c:numRef>
              <c:f>Résultats!$N$42</c:f>
              <c:numCache>
                <c:formatCode>#\ ##0.000</c:formatCode>
                <c:ptCount val="1"/>
                <c:pt idx="0">
                  <c:v>0</c:v>
                </c:pt>
              </c:numCache>
            </c:numRef>
          </c:val>
          <c:extLst>
            <c:ext xmlns:c15="http://schemas.microsoft.com/office/drawing/2012/chart" uri="{02D57815-91ED-43cb-92C2-25804820EDAC}">
              <c15:datalabelsRange>
                <c15:f>Résultats!$O$42</c15:f>
                <c15:dlblRangeCache>
                  <c:ptCount val="1"/>
                  <c:pt idx="0">
                    <c:v>0%</c:v>
                  </c:pt>
                </c15:dlblRangeCache>
              </c15:datalabelsRange>
            </c:ext>
            <c:ext xmlns:c16="http://schemas.microsoft.com/office/drawing/2014/chart" uri="{C3380CC4-5D6E-409C-BE32-E72D297353CC}">
              <c16:uniqueId val="{00000003-70B3-48D1-B181-F60B7F822D4E}"/>
            </c:ext>
          </c:extLst>
        </c:ser>
        <c:ser>
          <c:idx val="2"/>
          <c:order val="2"/>
          <c:tx>
            <c:strRef>
              <c:f>Résultats!$M$43</c:f>
              <c:strCache>
                <c:ptCount val="1"/>
                <c:pt idx="0">
                  <c:v>Contrôleur de charge</c:v>
                </c:pt>
              </c:strCache>
            </c:strRef>
          </c:tx>
          <c:spPr>
            <a:solidFill>
              <a:schemeClr val="accent5">
                <a:lumMod val="75000"/>
              </a:schemeClr>
            </a:solidFill>
            <a:ln>
              <a:noFill/>
            </a:ln>
            <a:effectLst/>
          </c:spPr>
          <c:invertIfNegative val="0"/>
          <c:dLbls>
            <c:dLbl>
              <c:idx val="0"/>
              <c:tx>
                <c:rich>
                  <a:bodyPr/>
                  <a:lstStyle/>
                  <a:p>
                    <a:fld id="{EE89F306-B2C3-4A34-89CE-1CC4682EF4D6}"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0B3-48D1-B181-F60B7F822D4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j-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Résultats!$N$40</c:f>
              <c:strCache>
                <c:ptCount val="1"/>
                <c:pt idx="0">
                  <c:v>Impact Carbone (en tCO2e)</c:v>
                </c:pt>
              </c:strCache>
            </c:strRef>
          </c:cat>
          <c:val>
            <c:numRef>
              <c:f>Résultats!$N$43</c:f>
              <c:numCache>
                <c:formatCode>#\ ##0.000</c:formatCode>
                <c:ptCount val="1"/>
                <c:pt idx="0">
                  <c:v>0</c:v>
                </c:pt>
              </c:numCache>
            </c:numRef>
          </c:val>
          <c:extLst>
            <c:ext xmlns:c15="http://schemas.microsoft.com/office/drawing/2012/chart" uri="{02D57815-91ED-43cb-92C2-25804820EDAC}">
              <c15:datalabelsRange>
                <c15:f>Résultats!$O$43</c15:f>
                <c15:dlblRangeCache>
                  <c:ptCount val="1"/>
                  <c:pt idx="0">
                    <c:v>0%</c:v>
                  </c:pt>
                </c15:dlblRangeCache>
              </c15:datalabelsRange>
            </c:ext>
            <c:ext xmlns:c16="http://schemas.microsoft.com/office/drawing/2014/chart" uri="{C3380CC4-5D6E-409C-BE32-E72D297353CC}">
              <c16:uniqueId val="{00000005-70B3-48D1-B181-F60B7F822D4E}"/>
            </c:ext>
          </c:extLst>
        </c:ser>
        <c:dLbls>
          <c:dLblPos val="ctr"/>
          <c:showLegendKey val="0"/>
          <c:showVal val="1"/>
          <c:showCatName val="0"/>
          <c:showSerName val="0"/>
          <c:showPercent val="0"/>
          <c:showBubbleSize val="0"/>
        </c:dLbls>
        <c:gapWidth val="150"/>
        <c:overlap val="100"/>
        <c:axId val="1565963872"/>
        <c:axId val="1565964832"/>
      </c:barChart>
      <c:catAx>
        <c:axId val="156596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65964832"/>
        <c:crosses val="autoZero"/>
        <c:auto val="1"/>
        <c:lblAlgn val="ctr"/>
        <c:lblOffset val="100"/>
        <c:noMultiLvlLbl val="0"/>
      </c:catAx>
      <c:valAx>
        <c:axId val="156596483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Émissions de GES (en tCO</a:t>
                </a:r>
                <a:r>
                  <a:rPr lang="fr-FR" baseline="-25000"/>
                  <a:t>2</a:t>
                </a:r>
                <a:r>
                  <a:rPr lang="fr-FR"/>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65963872"/>
        <c:crosses val="autoZero"/>
        <c:crossBetween val="between"/>
        <c:majorUnit val="0.25"/>
      </c:valAx>
      <c:spPr>
        <a:noFill/>
        <a:ln>
          <a:noFill/>
        </a:ln>
        <a:effectLst/>
      </c:spPr>
    </c:plotArea>
    <c:legend>
      <c:legendPos val="b"/>
      <c:legendEntry>
        <c:idx val="2"/>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fr-FR"/>
          </a:p>
        </c:txPr>
      </c:legendEntry>
      <c:layout>
        <c:manualLayout>
          <c:xMode val="edge"/>
          <c:yMode val="edge"/>
          <c:x val="0.73277151825961095"/>
          <c:y val="0.32092648050446959"/>
          <c:w val="0.23504035515160271"/>
          <c:h val="0.4927750552645533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j-lt"/>
                <a:ea typeface="+mn-ea"/>
                <a:cs typeface="+mn-cs"/>
              </a:defRPr>
            </a:pPr>
            <a:r>
              <a:rPr lang="fr-FR" sz="1400" b="1">
                <a:solidFill>
                  <a:schemeClr val="tx1"/>
                </a:solidFill>
                <a:latin typeface="+mj-lt"/>
              </a:rPr>
              <a:t>RÉPARTITION DE L'IMPACT</a:t>
            </a:r>
            <a:r>
              <a:rPr lang="fr-FR" sz="1400" b="1" baseline="0">
                <a:solidFill>
                  <a:schemeClr val="tx1"/>
                </a:solidFill>
                <a:latin typeface="+mj-lt"/>
              </a:rPr>
              <a:t> CARBONE DE L'ÉLECTRICITÉ CONSOMMÉE (en tCO</a:t>
            </a:r>
            <a:r>
              <a:rPr lang="fr-FR" sz="1400" b="1" baseline="-25000">
                <a:solidFill>
                  <a:schemeClr val="tx1"/>
                </a:solidFill>
                <a:latin typeface="+mj-lt"/>
              </a:rPr>
              <a:t>2</a:t>
            </a:r>
            <a:r>
              <a:rPr lang="fr-FR" sz="1400" b="1" baseline="0">
                <a:solidFill>
                  <a:schemeClr val="tx1"/>
                </a:solidFill>
                <a:latin typeface="+mj-lt"/>
              </a:rPr>
              <a:t>e)</a:t>
            </a:r>
            <a:endParaRPr lang="fr-FR" sz="1400" b="1">
              <a:solidFill>
                <a:schemeClr val="tx1"/>
              </a:solidFill>
              <a:latin typeface="+mj-l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j-lt"/>
              <a:ea typeface="+mn-ea"/>
              <a:cs typeface="+mn-cs"/>
            </a:defRPr>
          </a:pPr>
          <a:endParaRPr lang="fr-FR"/>
        </a:p>
      </c:txPr>
    </c:title>
    <c:autoTitleDeleted val="0"/>
    <c:plotArea>
      <c:layout>
        <c:manualLayout>
          <c:layoutTarget val="inner"/>
          <c:xMode val="edge"/>
          <c:yMode val="edge"/>
          <c:x val="0.11297362850494397"/>
          <c:y val="0.25941555355719809"/>
          <c:w val="0.55619512323261511"/>
          <c:h val="0.56113584687707918"/>
        </c:manualLayout>
      </c:layout>
      <c:barChart>
        <c:barDir val="col"/>
        <c:grouping val="stacked"/>
        <c:varyColors val="0"/>
        <c:ser>
          <c:idx val="0"/>
          <c:order val="0"/>
          <c:tx>
            <c:strRef>
              <c:f>Résultats!$B$54</c:f>
              <c:strCache>
                <c:ptCount val="1"/>
                <c:pt idx="0">
                  <c:v>Électricité (pleine puissance)</c:v>
                </c:pt>
              </c:strCache>
            </c:strRef>
          </c:tx>
          <c:spPr>
            <a:solidFill>
              <a:schemeClr val="accent2"/>
            </a:solidFill>
            <a:ln>
              <a:noFill/>
            </a:ln>
            <a:effectLst/>
          </c:spPr>
          <c:invertIfNegative val="0"/>
          <c:dLbls>
            <c:dLbl>
              <c:idx val="0"/>
              <c:tx>
                <c:rich>
                  <a:bodyPr/>
                  <a:lstStyle/>
                  <a:p>
                    <a:fld id="{C3B248FE-E7B2-4932-ABAF-18B9063AE785}"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DBD-4B6F-80D0-0C8B12B8CA0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j-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Résultats!$C$53</c:f>
              <c:strCache>
                <c:ptCount val="1"/>
                <c:pt idx="0">
                  <c:v>Impact Carbone (en tCO2e)</c:v>
                </c:pt>
              </c:strCache>
            </c:strRef>
          </c:cat>
          <c:val>
            <c:numRef>
              <c:f>Résultats!$C$54</c:f>
              <c:numCache>
                <c:formatCode>#\ ##0.000</c:formatCode>
                <c:ptCount val="1"/>
                <c:pt idx="0">
                  <c:v>0</c:v>
                </c:pt>
              </c:numCache>
            </c:numRef>
          </c:val>
          <c:extLst>
            <c:ext xmlns:c15="http://schemas.microsoft.com/office/drawing/2012/chart" uri="{02D57815-91ED-43cb-92C2-25804820EDAC}">
              <c15:datalabelsRange>
                <c15:f>Résultats!$D$55</c15:f>
                <c15:dlblRangeCache>
                  <c:ptCount val="1"/>
                  <c:pt idx="0">
                    <c:v>0%</c:v>
                  </c:pt>
                </c15:dlblRangeCache>
              </c15:datalabelsRange>
            </c:ext>
            <c:ext xmlns:c16="http://schemas.microsoft.com/office/drawing/2014/chart" uri="{C3380CC4-5D6E-409C-BE32-E72D297353CC}">
              <c16:uniqueId val="{00000001-3DBD-4B6F-80D0-0C8B12B8CA00}"/>
            </c:ext>
          </c:extLst>
        </c:ser>
        <c:ser>
          <c:idx val="1"/>
          <c:order val="1"/>
          <c:tx>
            <c:strRef>
              <c:f>Résultats!$B$55</c:f>
              <c:strCache>
                <c:ptCount val="1"/>
                <c:pt idx="0">
                  <c:v>Électricité (puissance réduite)</c:v>
                </c:pt>
              </c:strCache>
            </c:strRef>
          </c:tx>
          <c:spPr>
            <a:solidFill>
              <a:schemeClr val="accent1"/>
            </a:solidFill>
            <a:ln>
              <a:noFill/>
            </a:ln>
            <a:effectLst/>
          </c:spPr>
          <c:invertIfNegative val="0"/>
          <c:dLbls>
            <c:dLbl>
              <c:idx val="0"/>
              <c:tx>
                <c:rich>
                  <a:bodyPr/>
                  <a:lstStyle/>
                  <a:p>
                    <a:fld id="{A345B0B8-9457-4692-B4E2-ECB57BBABF8E}"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DBD-4B6F-80D0-0C8B12B8CA0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j-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Résultats!$C$53</c:f>
              <c:strCache>
                <c:ptCount val="1"/>
                <c:pt idx="0">
                  <c:v>Impact Carbone (en tCO2e)</c:v>
                </c:pt>
              </c:strCache>
            </c:strRef>
          </c:cat>
          <c:val>
            <c:numRef>
              <c:f>Résultats!$C$55</c:f>
              <c:numCache>
                <c:formatCode>#\ ##0.000</c:formatCode>
                <c:ptCount val="1"/>
                <c:pt idx="0">
                  <c:v>0</c:v>
                </c:pt>
              </c:numCache>
            </c:numRef>
          </c:val>
          <c:extLst>
            <c:ext xmlns:c15="http://schemas.microsoft.com/office/drawing/2012/chart" uri="{02D57815-91ED-43cb-92C2-25804820EDAC}">
              <c15:datalabelsRange>
                <c15:f>Résultats!$D$54</c15:f>
                <c15:dlblRangeCache>
                  <c:ptCount val="1"/>
                  <c:pt idx="0">
                    <c:v>0%</c:v>
                  </c:pt>
                </c15:dlblRangeCache>
              </c15:datalabelsRange>
            </c:ext>
            <c:ext xmlns:c16="http://schemas.microsoft.com/office/drawing/2014/chart" uri="{C3380CC4-5D6E-409C-BE32-E72D297353CC}">
              <c16:uniqueId val="{00000003-3DBD-4B6F-80D0-0C8B12B8CA00}"/>
            </c:ext>
          </c:extLst>
        </c:ser>
        <c:dLbls>
          <c:dLblPos val="ctr"/>
          <c:showLegendKey val="0"/>
          <c:showVal val="1"/>
          <c:showCatName val="0"/>
          <c:showSerName val="0"/>
          <c:showPercent val="0"/>
          <c:showBubbleSize val="0"/>
        </c:dLbls>
        <c:gapWidth val="150"/>
        <c:overlap val="100"/>
        <c:axId val="1565963872"/>
        <c:axId val="1565964832"/>
      </c:barChart>
      <c:catAx>
        <c:axId val="156596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65964832"/>
        <c:crosses val="autoZero"/>
        <c:auto val="1"/>
        <c:lblAlgn val="ctr"/>
        <c:lblOffset val="100"/>
        <c:noMultiLvlLbl val="0"/>
      </c:catAx>
      <c:valAx>
        <c:axId val="1565964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Émissions de GES (en tCO</a:t>
                </a:r>
                <a:r>
                  <a:rPr lang="fr-FR" baseline="-25000"/>
                  <a:t>2</a:t>
                </a:r>
                <a:r>
                  <a:rPr lang="fr-FR"/>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65963872"/>
        <c:crosses val="autoZero"/>
        <c:crossBetween val="between"/>
        <c:majorUnit val="0.25"/>
      </c:valAx>
      <c:spPr>
        <a:noFill/>
        <a:ln>
          <a:noFill/>
        </a:ln>
        <a:effectLst/>
      </c:spPr>
    </c:plotArea>
    <c:legend>
      <c:legendPos val="b"/>
      <c:layout>
        <c:manualLayout>
          <c:xMode val="edge"/>
          <c:yMode val="edge"/>
          <c:x val="0.68579697708400966"/>
          <c:y val="0.36711666264558163"/>
          <c:w val="0.28201502493857827"/>
          <c:h val="0.3868706544819067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j-lt"/>
                <a:ea typeface="+mn-ea"/>
                <a:cs typeface="+mn-cs"/>
              </a:defRPr>
            </a:pPr>
            <a:r>
              <a:rPr lang="fr-FR" b="1">
                <a:solidFill>
                  <a:sysClr val="windowText" lastClr="000000"/>
                </a:solidFill>
                <a:latin typeface="+mj-lt"/>
              </a:rPr>
              <a:t>IMPACT CARBONE PAR DURÉE DE CONSOMMATION</a:t>
            </a:r>
            <a:r>
              <a:rPr lang="fr-FR" b="1" baseline="0">
                <a:solidFill>
                  <a:sysClr val="windowText" lastClr="000000"/>
                </a:solidFill>
                <a:latin typeface="+mj-lt"/>
              </a:rPr>
              <a:t> D'ÉLECTRICITÉ</a:t>
            </a:r>
            <a:r>
              <a:rPr lang="fr-FR" b="1">
                <a:solidFill>
                  <a:sysClr val="windowText" lastClr="000000"/>
                </a:solidFill>
                <a:latin typeface="+mj-lt"/>
              </a:rP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j-lt"/>
              <a:ea typeface="+mn-ea"/>
              <a:cs typeface="+mn-cs"/>
            </a:defRPr>
          </a:pPr>
          <a:endParaRPr lang="fr-FR"/>
        </a:p>
      </c:txPr>
    </c:title>
    <c:autoTitleDeleted val="0"/>
    <c:plotArea>
      <c:layout/>
      <c:barChart>
        <c:barDir val="col"/>
        <c:grouping val="stacked"/>
        <c:varyColors val="0"/>
        <c:ser>
          <c:idx val="0"/>
          <c:order val="0"/>
          <c:tx>
            <c:strRef>
              <c:f>Résultats!$M$59</c:f>
              <c:strCache>
                <c:ptCount val="1"/>
                <c:pt idx="0">
                  <c:v>Électricité (pleine puissance)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j-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Résultats!$N$58:$O$58</c:f>
              <c:strCache>
                <c:ptCount val="2"/>
                <c:pt idx="0">
                  <c:v>Durée de consommation d'électricité (en h)</c:v>
                </c:pt>
                <c:pt idx="1">
                  <c:v>Impact Carbone (en tCO2e)</c:v>
                </c:pt>
              </c:strCache>
            </c:strRef>
          </c:cat>
          <c:val>
            <c:numRef>
              <c:f>Résultats!$N$59:$O$59</c:f>
              <c:numCache>
                <c:formatCode>0%</c:formatCode>
                <c:ptCount val="2"/>
                <c:pt idx="0">
                  <c:v>0.55555555555555558</c:v>
                </c:pt>
                <c:pt idx="1">
                  <c:v>0</c:v>
                </c:pt>
              </c:numCache>
            </c:numRef>
          </c:val>
          <c:extLst>
            <c:ext xmlns:c16="http://schemas.microsoft.com/office/drawing/2014/chart" uri="{C3380CC4-5D6E-409C-BE32-E72D297353CC}">
              <c16:uniqueId val="{00000000-1517-4735-8457-24DFBE9905CA}"/>
            </c:ext>
          </c:extLst>
        </c:ser>
        <c:ser>
          <c:idx val="1"/>
          <c:order val="1"/>
          <c:tx>
            <c:strRef>
              <c:f>Résultats!$M$60</c:f>
              <c:strCache>
                <c:ptCount val="1"/>
                <c:pt idx="0">
                  <c:v>Électricité (puissance réduite)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j-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Résultats!$N$58:$O$58</c:f>
              <c:strCache>
                <c:ptCount val="2"/>
                <c:pt idx="0">
                  <c:v>Durée de consommation d'électricité (en h)</c:v>
                </c:pt>
                <c:pt idx="1">
                  <c:v>Impact Carbone (en tCO2e)</c:v>
                </c:pt>
              </c:strCache>
            </c:strRef>
          </c:cat>
          <c:val>
            <c:numRef>
              <c:f>Résultats!$N$60:$O$60</c:f>
              <c:numCache>
                <c:formatCode>0%</c:formatCode>
                <c:ptCount val="2"/>
                <c:pt idx="0">
                  <c:v>0.44444444444444442</c:v>
                </c:pt>
                <c:pt idx="1">
                  <c:v>0</c:v>
                </c:pt>
              </c:numCache>
            </c:numRef>
          </c:val>
          <c:extLst>
            <c:ext xmlns:c16="http://schemas.microsoft.com/office/drawing/2014/chart" uri="{C3380CC4-5D6E-409C-BE32-E72D297353CC}">
              <c16:uniqueId val="{00000001-1517-4735-8457-24DFBE9905CA}"/>
            </c:ext>
          </c:extLst>
        </c:ser>
        <c:dLbls>
          <c:dLblPos val="ctr"/>
          <c:showLegendKey val="0"/>
          <c:showVal val="1"/>
          <c:showCatName val="0"/>
          <c:showSerName val="0"/>
          <c:showPercent val="0"/>
          <c:showBubbleSize val="0"/>
        </c:dLbls>
        <c:gapWidth val="150"/>
        <c:overlap val="100"/>
        <c:axId val="1733521264"/>
        <c:axId val="1733521744"/>
      </c:barChart>
      <c:catAx>
        <c:axId val="1733521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521744"/>
        <c:crosses val="autoZero"/>
        <c:auto val="1"/>
        <c:lblAlgn val="ctr"/>
        <c:lblOffset val="100"/>
        <c:noMultiLvlLbl val="0"/>
      </c:catAx>
      <c:valAx>
        <c:axId val="173352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521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45721</xdr:colOff>
      <xdr:row>0</xdr:row>
      <xdr:rowOff>53340</xdr:rowOff>
    </xdr:from>
    <xdr:to>
      <xdr:col>1</xdr:col>
      <xdr:colOff>762001</xdr:colOff>
      <xdr:row>1</xdr:row>
      <xdr:rowOff>211679</xdr:rowOff>
    </xdr:to>
    <xdr:pic>
      <xdr:nvPicPr>
        <xdr:cNvPr id="2" name="Image 1">
          <a:extLst>
            <a:ext uri="{FF2B5EF4-FFF2-40B4-BE49-F238E27FC236}">
              <a16:creationId xmlns:a16="http://schemas.microsoft.com/office/drawing/2014/main" id="{BCB9E226-AA73-B2AA-7838-886D228294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281" y="53340"/>
          <a:ext cx="716280" cy="405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899369</xdr:colOff>
      <xdr:row>0</xdr:row>
      <xdr:rowOff>76446</xdr:rowOff>
    </xdr:from>
    <xdr:to>
      <xdr:col>2</xdr:col>
      <xdr:colOff>402908</xdr:colOff>
      <xdr:row>1</xdr:row>
      <xdr:rowOff>171044</xdr:rowOff>
    </xdr:to>
    <xdr:pic>
      <xdr:nvPicPr>
        <xdr:cNvPr id="4" name="Image 3">
          <a:extLst>
            <a:ext uri="{FF2B5EF4-FFF2-40B4-BE49-F238E27FC236}">
              <a16:creationId xmlns:a16="http://schemas.microsoft.com/office/drawing/2014/main" id="{C3CADFBE-6913-DA46-0E6B-38DD474E41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9929" y="76446"/>
          <a:ext cx="1074212" cy="342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xdr:colOff>
      <xdr:row>0</xdr:row>
      <xdr:rowOff>19050</xdr:rowOff>
    </xdr:from>
    <xdr:to>
      <xdr:col>1</xdr:col>
      <xdr:colOff>881542</xdr:colOff>
      <xdr:row>1</xdr:row>
      <xdr:rowOff>209549</xdr:rowOff>
    </xdr:to>
    <xdr:pic>
      <xdr:nvPicPr>
        <xdr:cNvPr id="3" name="Image 2">
          <a:extLst>
            <a:ext uri="{FF2B5EF4-FFF2-40B4-BE49-F238E27FC236}">
              <a16:creationId xmlns:a16="http://schemas.microsoft.com/office/drawing/2014/main" id="{912C076C-A59F-9280-322D-D92B0CB6356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990" y="19050"/>
          <a:ext cx="866302" cy="438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136315</xdr:colOff>
      <xdr:row>0</xdr:row>
      <xdr:rowOff>38887</xdr:rowOff>
    </xdr:from>
    <xdr:to>
      <xdr:col>1</xdr:col>
      <xdr:colOff>456715</xdr:colOff>
      <xdr:row>1</xdr:row>
      <xdr:rowOff>228523</xdr:rowOff>
    </xdr:to>
    <xdr:grpSp>
      <xdr:nvGrpSpPr>
        <xdr:cNvPr id="10" name="Groupe 9">
          <a:extLst>
            <a:ext uri="{FF2B5EF4-FFF2-40B4-BE49-F238E27FC236}">
              <a16:creationId xmlns:a16="http://schemas.microsoft.com/office/drawing/2014/main" id="{1D92E877-8256-0F0F-8F0B-5794D9C27B28}"/>
            </a:ext>
          </a:extLst>
        </xdr:cNvPr>
        <xdr:cNvGrpSpPr/>
      </xdr:nvGrpSpPr>
      <xdr:grpSpPr>
        <a:xfrm>
          <a:off x="799255" y="38887"/>
          <a:ext cx="324210" cy="437286"/>
          <a:chOff x="3382625" y="38887"/>
          <a:chExt cx="324743" cy="437645"/>
        </a:xfrm>
      </xdr:grpSpPr>
      <xdr:sp macro="" textlink="">
        <xdr:nvSpPr>
          <xdr:cNvPr id="5" name="Forme libre : forme 4">
            <a:extLst>
              <a:ext uri="{FF2B5EF4-FFF2-40B4-BE49-F238E27FC236}">
                <a16:creationId xmlns:a16="http://schemas.microsoft.com/office/drawing/2014/main" id="{DBF9E4D7-3FD6-E73F-4DD6-5DA609CC84AA}"/>
              </a:ext>
            </a:extLst>
          </xdr:cNvPr>
          <xdr:cNvSpPr/>
        </xdr:nvSpPr>
        <xdr:spPr>
          <a:xfrm>
            <a:off x="3570571" y="38887"/>
            <a:ext cx="108013" cy="53402"/>
          </a:xfrm>
          <a:custGeom>
            <a:avLst/>
            <a:gdLst>
              <a:gd name="connsiteX0" fmla="*/ 101107 w 101107"/>
              <a:gd name="connsiteY0" fmla="*/ 30232 h 50386"/>
              <a:gd name="connsiteX1" fmla="*/ 101107 w 101107"/>
              <a:gd name="connsiteY1" fmla="*/ 20155 h 50386"/>
              <a:gd name="connsiteX2" fmla="*/ 80886 w 101107"/>
              <a:gd name="connsiteY2" fmla="*/ 0 h 50386"/>
              <a:gd name="connsiteX3" fmla="*/ 0 w 101107"/>
              <a:gd name="connsiteY3" fmla="*/ 0 h 50386"/>
              <a:gd name="connsiteX4" fmla="*/ 0 w 101107"/>
              <a:gd name="connsiteY4" fmla="*/ 30232 h 50386"/>
              <a:gd name="connsiteX5" fmla="*/ 20221 w 101107"/>
              <a:gd name="connsiteY5" fmla="*/ 50387 h 50386"/>
              <a:gd name="connsiteX6" fmla="*/ 80886 w 101107"/>
              <a:gd name="connsiteY6" fmla="*/ 50387 h 50386"/>
              <a:gd name="connsiteX7" fmla="*/ 101107 w 101107"/>
              <a:gd name="connsiteY7" fmla="*/ 30232 h 503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1107" h="50386">
                <a:moveTo>
                  <a:pt x="101107" y="30232"/>
                </a:moveTo>
                <a:lnTo>
                  <a:pt x="101107" y="20155"/>
                </a:lnTo>
                <a:cubicBezTo>
                  <a:pt x="101107" y="9070"/>
                  <a:pt x="92008" y="0"/>
                  <a:pt x="80886" y="0"/>
                </a:cubicBezTo>
                <a:lnTo>
                  <a:pt x="0" y="0"/>
                </a:lnTo>
                <a:lnTo>
                  <a:pt x="0" y="30232"/>
                </a:lnTo>
                <a:cubicBezTo>
                  <a:pt x="0" y="41317"/>
                  <a:pt x="9100" y="50387"/>
                  <a:pt x="20221" y="50387"/>
                </a:cubicBezTo>
                <a:lnTo>
                  <a:pt x="80886" y="50387"/>
                </a:lnTo>
                <a:cubicBezTo>
                  <a:pt x="92008" y="50387"/>
                  <a:pt x="101107" y="41317"/>
                  <a:pt x="101107" y="30232"/>
                </a:cubicBezTo>
              </a:path>
            </a:pathLst>
          </a:custGeom>
          <a:solidFill>
            <a:sysClr val="window" lastClr="FFFFFF"/>
          </a:solidFill>
          <a:ln w="4961" cap="flat">
            <a:noFill/>
            <a:prstDash val="solid"/>
            <a:miter/>
          </a:ln>
        </xdr:spPr>
        <xdr:txBody>
          <a:bodyPr rtlCol="0" anchor="ctr"/>
          <a:lstStyle/>
          <a:p>
            <a:endParaRPr lang="fr-FR"/>
          </a:p>
        </xdr:txBody>
      </xdr:sp>
      <xdr:sp macro="" textlink="">
        <xdr:nvSpPr>
          <xdr:cNvPr id="6" name="Forme libre : forme 5">
            <a:extLst>
              <a:ext uri="{FF2B5EF4-FFF2-40B4-BE49-F238E27FC236}">
                <a16:creationId xmlns:a16="http://schemas.microsoft.com/office/drawing/2014/main" id="{6D6E56A3-A083-75F6-A67F-BB9D6FD07A65}"/>
              </a:ext>
            </a:extLst>
          </xdr:cNvPr>
          <xdr:cNvSpPr/>
        </xdr:nvSpPr>
        <xdr:spPr>
          <a:xfrm>
            <a:off x="3618510" y="101453"/>
            <a:ext cx="24269" cy="63322"/>
          </a:xfrm>
          <a:custGeom>
            <a:avLst/>
            <a:gdLst>
              <a:gd name="connsiteX0" fmla="*/ 10111 w 20221"/>
              <a:gd name="connsiteY0" fmla="*/ 0 h 60464"/>
              <a:gd name="connsiteX1" fmla="*/ 0 w 20221"/>
              <a:gd name="connsiteY1" fmla="*/ 10077 h 60464"/>
              <a:gd name="connsiteX2" fmla="*/ 0 w 20221"/>
              <a:gd name="connsiteY2" fmla="*/ 50387 h 60464"/>
              <a:gd name="connsiteX3" fmla="*/ 10111 w 20221"/>
              <a:gd name="connsiteY3" fmla="*/ 60464 h 60464"/>
              <a:gd name="connsiteX4" fmla="*/ 20221 w 20221"/>
              <a:gd name="connsiteY4" fmla="*/ 50387 h 60464"/>
              <a:gd name="connsiteX5" fmla="*/ 20221 w 20221"/>
              <a:gd name="connsiteY5" fmla="*/ 10077 h 60464"/>
              <a:gd name="connsiteX6" fmla="*/ 10111 w 20221"/>
              <a:gd name="connsiteY6" fmla="*/ 0 h 604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221" h="60464">
                <a:moveTo>
                  <a:pt x="10111" y="0"/>
                </a:moveTo>
                <a:cubicBezTo>
                  <a:pt x="4550" y="0"/>
                  <a:pt x="0" y="4535"/>
                  <a:pt x="0" y="10077"/>
                </a:cubicBezTo>
                <a:lnTo>
                  <a:pt x="0" y="50387"/>
                </a:lnTo>
                <a:cubicBezTo>
                  <a:pt x="0" y="55930"/>
                  <a:pt x="4550" y="60464"/>
                  <a:pt x="10111" y="60464"/>
                </a:cubicBezTo>
                <a:cubicBezTo>
                  <a:pt x="15672" y="60464"/>
                  <a:pt x="20221" y="55930"/>
                  <a:pt x="20221" y="50387"/>
                </a:cubicBezTo>
                <a:lnTo>
                  <a:pt x="20221" y="10077"/>
                </a:lnTo>
                <a:cubicBezTo>
                  <a:pt x="20221" y="4535"/>
                  <a:pt x="15672" y="0"/>
                  <a:pt x="10111" y="0"/>
                </a:cubicBezTo>
              </a:path>
            </a:pathLst>
          </a:custGeom>
          <a:solidFill>
            <a:sysClr val="window" lastClr="FFFFFF"/>
          </a:solidFill>
          <a:ln w="4961" cap="flat">
            <a:noFill/>
            <a:prstDash val="solid"/>
            <a:miter/>
          </a:ln>
        </xdr:spPr>
        <xdr:txBody>
          <a:bodyPr rtlCol="0" anchor="ctr"/>
          <a:lstStyle/>
          <a:p>
            <a:endParaRPr lang="fr-FR"/>
          </a:p>
        </xdr:txBody>
      </xdr:sp>
      <xdr:sp macro="" textlink="">
        <xdr:nvSpPr>
          <xdr:cNvPr id="7" name="Forme libre : forme 6">
            <a:extLst>
              <a:ext uri="{FF2B5EF4-FFF2-40B4-BE49-F238E27FC236}">
                <a16:creationId xmlns:a16="http://schemas.microsoft.com/office/drawing/2014/main" id="{D629A512-C30A-7F01-E93A-E7E08CC09256}"/>
              </a:ext>
            </a:extLst>
          </xdr:cNvPr>
          <xdr:cNvSpPr/>
        </xdr:nvSpPr>
        <xdr:spPr>
          <a:xfrm>
            <a:off x="3655849" y="99052"/>
            <a:ext cx="51519" cy="51915"/>
          </a:xfrm>
          <a:custGeom>
            <a:avLst/>
            <a:gdLst>
              <a:gd name="connsiteX0" fmla="*/ 46004 w 49037"/>
              <a:gd name="connsiteY0" fmla="*/ 31744 h 48875"/>
              <a:gd name="connsiteX1" fmla="*/ 17188 w 49037"/>
              <a:gd name="connsiteY1" fmla="*/ 3023 h 48875"/>
              <a:gd name="connsiteX2" fmla="*/ 3033 w 49037"/>
              <a:gd name="connsiteY2" fmla="*/ 3023 h 48875"/>
              <a:gd name="connsiteX3" fmla="*/ 3033 w 49037"/>
              <a:gd name="connsiteY3" fmla="*/ 17132 h 48875"/>
              <a:gd name="connsiteX4" fmla="*/ 31849 w 49037"/>
              <a:gd name="connsiteY4" fmla="*/ 45852 h 48875"/>
              <a:gd name="connsiteX5" fmla="*/ 38926 w 49037"/>
              <a:gd name="connsiteY5" fmla="*/ 48875 h 48875"/>
              <a:gd name="connsiteX6" fmla="*/ 46004 w 49037"/>
              <a:gd name="connsiteY6" fmla="*/ 45852 h 48875"/>
              <a:gd name="connsiteX7" fmla="*/ 46004 w 49037"/>
              <a:gd name="connsiteY7" fmla="*/ 31744 h 48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9037" h="48875">
                <a:moveTo>
                  <a:pt x="46004" y="31744"/>
                </a:moveTo>
                <a:lnTo>
                  <a:pt x="17188" y="3023"/>
                </a:lnTo>
                <a:cubicBezTo>
                  <a:pt x="13144" y="-1008"/>
                  <a:pt x="7077" y="-1008"/>
                  <a:pt x="3033" y="3023"/>
                </a:cubicBezTo>
                <a:cubicBezTo>
                  <a:pt x="-1011" y="7054"/>
                  <a:pt x="-1011" y="13101"/>
                  <a:pt x="3033" y="17132"/>
                </a:cubicBezTo>
                <a:lnTo>
                  <a:pt x="31849" y="45852"/>
                </a:lnTo>
                <a:cubicBezTo>
                  <a:pt x="33871" y="47868"/>
                  <a:pt x="36399" y="48875"/>
                  <a:pt x="38926" y="48875"/>
                </a:cubicBezTo>
                <a:cubicBezTo>
                  <a:pt x="41454" y="48875"/>
                  <a:pt x="43982" y="47868"/>
                  <a:pt x="46004" y="45852"/>
                </a:cubicBezTo>
                <a:cubicBezTo>
                  <a:pt x="50048" y="42325"/>
                  <a:pt x="50048" y="35775"/>
                  <a:pt x="46004" y="31744"/>
                </a:cubicBezTo>
              </a:path>
            </a:pathLst>
          </a:custGeom>
          <a:solidFill>
            <a:sysClr val="window" lastClr="FFFFFF"/>
          </a:solidFill>
          <a:ln w="4961" cap="flat">
            <a:noFill/>
            <a:prstDash val="solid"/>
            <a:miter/>
          </a:ln>
        </xdr:spPr>
        <xdr:txBody>
          <a:bodyPr rtlCol="0" anchor="ctr"/>
          <a:lstStyle/>
          <a:p>
            <a:endParaRPr lang="fr-FR"/>
          </a:p>
        </xdr:txBody>
      </xdr:sp>
      <xdr:sp macro="" textlink="">
        <xdr:nvSpPr>
          <xdr:cNvPr id="8" name="Forme libre : forme 7">
            <a:extLst>
              <a:ext uri="{FF2B5EF4-FFF2-40B4-BE49-F238E27FC236}">
                <a16:creationId xmlns:a16="http://schemas.microsoft.com/office/drawing/2014/main" id="{077BDECF-13A7-FDCA-D187-C355DB18E293}"/>
              </a:ext>
            </a:extLst>
          </xdr:cNvPr>
          <xdr:cNvSpPr/>
        </xdr:nvSpPr>
        <xdr:spPr>
          <a:xfrm>
            <a:off x="3555456" y="101453"/>
            <a:ext cx="53424" cy="50010"/>
          </a:xfrm>
          <a:custGeom>
            <a:avLst/>
            <a:gdLst>
              <a:gd name="connsiteX0" fmla="*/ 31849 w 49037"/>
              <a:gd name="connsiteY0" fmla="*/ 3023 h 48875"/>
              <a:gd name="connsiteX1" fmla="*/ 3033 w 49037"/>
              <a:gd name="connsiteY1" fmla="*/ 31744 h 48875"/>
              <a:gd name="connsiteX2" fmla="*/ 3033 w 49037"/>
              <a:gd name="connsiteY2" fmla="*/ 45852 h 48875"/>
              <a:gd name="connsiteX3" fmla="*/ 10111 w 49037"/>
              <a:gd name="connsiteY3" fmla="*/ 48875 h 48875"/>
              <a:gd name="connsiteX4" fmla="*/ 17188 w 49037"/>
              <a:gd name="connsiteY4" fmla="*/ 45852 h 48875"/>
              <a:gd name="connsiteX5" fmla="*/ 46004 w 49037"/>
              <a:gd name="connsiteY5" fmla="*/ 17132 h 48875"/>
              <a:gd name="connsiteX6" fmla="*/ 46004 w 49037"/>
              <a:gd name="connsiteY6" fmla="*/ 3023 h 48875"/>
              <a:gd name="connsiteX7" fmla="*/ 31849 w 49037"/>
              <a:gd name="connsiteY7" fmla="*/ 3023 h 48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9037" h="48875">
                <a:moveTo>
                  <a:pt x="31849" y="3023"/>
                </a:moveTo>
                <a:lnTo>
                  <a:pt x="3033" y="31744"/>
                </a:lnTo>
                <a:cubicBezTo>
                  <a:pt x="-1011" y="35775"/>
                  <a:pt x="-1011" y="41821"/>
                  <a:pt x="3033" y="45852"/>
                </a:cubicBezTo>
                <a:cubicBezTo>
                  <a:pt x="5055" y="47868"/>
                  <a:pt x="7583" y="48875"/>
                  <a:pt x="10111" y="48875"/>
                </a:cubicBezTo>
                <a:cubicBezTo>
                  <a:pt x="12638" y="48875"/>
                  <a:pt x="15166" y="47868"/>
                  <a:pt x="17188" y="45852"/>
                </a:cubicBezTo>
                <a:lnTo>
                  <a:pt x="46004" y="17132"/>
                </a:lnTo>
                <a:cubicBezTo>
                  <a:pt x="50048" y="13101"/>
                  <a:pt x="50048" y="7054"/>
                  <a:pt x="46004" y="3023"/>
                </a:cubicBezTo>
                <a:cubicBezTo>
                  <a:pt x="41960" y="-1008"/>
                  <a:pt x="35893" y="-1008"/>
                  <a:pt x="31849" y="3023"/>
                </a:cubicBezTo>
              </a:path>
            </a:pathLst>
          </a:custGeom>
          <a:solidFill>
            <a:sysClr val="window" lastClr="FFFFFF"/>
          </a:solidFill>
          <a:ln w="4961" cap="flat">
            <a:noFill/>
            <a:prstDash val="solid"/>
            <a:miter/>
          </a:ln>
        </xdr:spPr>
        <xdr:txBody>
          <a:bodyPr rtlCol="0" anchor="ctr"/>
          <a:lstStyle/>
          <a:p>
            <a:endParaRPr lang="fr-FR"/>
          </a:p>
        </xdr:txBody>
      </xdr:sp>
      <xdr:sp macro="" textlink="">
        <xdr:nvSpPr>
          <xdr:cNvPr id="9" name="Forme libre : forme 8">
            <a:extLst>
              <a:ext uri="{FF2B5EF4-FFF2-40B4-BE49-F238E27FC236}">
                <a16:creationId xmlns:a16="http://schemas.microsoft.com/office/drawing/2014/main" id="{C84DA2D2-7D21-7E30-034E-7608E856C459}"/>
              </a:ext>
            </a:extLst>
          </xdr:cNvPr>
          <xdr:cNvSpPr/>
        </xdr:nvSpPr>
        <xdr:spPr>
          <a:xfrm>
            <a:off x="3382625" y="39383"/>
            <a:ext cx="171296" cy="437149"/>
          </a:xfrm>
          <a:custGeom>
            <a:avLst/>
            <a:gdLst>
              <a:gd name="connsiteX0" fmla="*/ 20221 w 161771"/>
              <a:gd name="connsiteY0" fmla="*/ 150657 h 442901"/>
              <a:gd name="connsiteX1" fmla="*/ 20221 w 161771"/>
              <a:gd name="connsiteY1" fmla="*/ 357244 h 442901"/>
              <a:gd name="connsiteX2" fmla="*/ 5055 w 161771"/>
              <a:gd name="connsiteY2" fmla="*/ 357244 h 442901"/>
              <a:gd name="connsiteX3" fmla="*/ 0 w 161771"/>
              <a:gd name="connsiteY3" fmla="*/ 442902 h 442901"/>
              <a:gd name="connsiteX4" fmla="*/ 70775 w 161771"/>
              <a:gd name="connsiteY4" fmla="*/ 442902 h 442901"/>
              <a:gd name="connsiteX5" fmla="*/ 65720 w 161771"/>
              <a:gd name="connsiteY5" fmla="*/ 357244 h 442901"/>
              <a:gd name="connsiteX6" fmla="*/ 50554 w 161771"/>
              <a:gd name="connsiteY6" fmla="*/ 357244 h 442901"/>
              <a:gd name="connsiteX7" fmla="*/ 50554 w 161771"/>
              <a:gd name="connsiteY7" fmla="*/ 150657 h 442901"/>
              <a:gd name="connsiteX8" fmla="*/ 161772 w 161771"/>
              <a:gd name="connsiteY8" fmla="*/ 30232 h 442901"/>
              <a:gd name="connsiteX9" fmla="*/ 161772 w 161771"/>
              <a:gd name="connsiteY9" fmla="*/ 0 h 442901"/>
              <a:gd name="connsiteX10" fmla="*/ 20221 w 161771"/>
              <a:gd name="connsiteY10" fmla="*/ 150657 h 4429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61771" h="442901">
                <a:moveTo>
                  <a:pt x="20221" y="150657"/>
                </a:moveTo>
                <a:lnTo>
                  <a:pt x="20221" y="357244"/>
                </a:lnTo>
                <a:lnTo>
                  <a:pt x="5055" y="357244"/>
                </a:lnTo>
                <a:lnTo>
                  <a:pt x="0" y="442902"/>
                </a:lnTo>
                <a:lnTo>
                  <a:pt x="70775" y="442902"/>
                </a:lnTo>
                <a:lnTo>
                  <a:pt x="65720" y="357244"/>
                </a:lnTo>
                <a:lnTo>
                  <a:pt x="50554" y="357244"/>
                </a:lnTo>
                <a:lnTo>
                  <a:pt x="50554" y="150657"/>
                </a:lnTo>
                <a:cubicBezTo>
                  <a:pt x="50554" y="87169"/>
                  <a:pt x="99591" y="35271"/>
                  <a:pt x="161772" y="30232"/>
                </a:cubicBezTo>
                <a:lnTo>
                  <a:pt x="161772" y="0"/>
                </a:lnTo>
                <a:cubicBezTo>
                  <a:pt x="82908" y="5039"/>
                  <a:pt x="20221" y="70542"/>
                  <a:pt x="20221" y="150657"/>
                </a:cubicBezTo>
              </a:path>
            </a:pathLst>
          </a:custGeom>
          <a:solidFill>
            <a:srgbClr val="000000"/>
          </a:solidFill>
          <a:ln w="4961" cap="flat">
            <a:noFill/>
            <a:prstDash val="solid"/>
            <a:miter/>
          </a:ln>
        </xdr:spPr>
        <xdr:txBody>
          <a:bodyPr rtlCol="0" anchor="ctr"/>
          <a:lstStyle/>
          <a:p>
            <a:endParaRPr lang="fr-F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132911</xdr:colOff>
      <xdr:row>0</xdr:row>
      <xdr:rowOff>35023</xdr:rowOff>
    </xdr:from>
    <xdr:to>
      <xdr:col>1</xdr:col>
      <xdr:colOff>456911</xdr:colOff>
      <xdr:row>1</xdr:row>
      <xdr:rowOff>225108</xdr:rowOff>
    </xdr:to>
    <xdr:grpSp>
      <xdr:nvGrpSpPr>
        <xdr:cNvPr id="8" name="Groupe 7">
          <a:extLst>
            <a:ext uri="{FF2B5EF4-FFF2-40B4-BE49-F238E27FC236}">
              <a16:creationId xmlns:a16="http://schemas.microsoft.com/office/drawing/2014/main" id="{60D441B1-4EB9-091F-2D90-FC6E28F097F9}"/>
            </a:ext>
          </a:extLst>
        </xdr:cNvPr>
        <xdr:cNvGrpSpPr/>
      </xdr:nvGrpSpPr>
      <xdr:grpSpPr>
        <a:xfrm>
          <a:off x="803471" y="35023"/>
          <a:ext cx="320190" cy="441199"/>
          <a:chOff x="799661" y="35023"/>
          <a:chExt cx="324000" cy="436614"/>
        </a:xfrm>
      </xdr:grpSpPr>
      <xdr:sp macro="" textlink="">
        <xdr:nvSpPr>
          <xdr:cNvPr id="3" name="Forme libre : forme 2">
            <a:extLst>
              <a:ext uri="{FF2B5EF4-FFF2-40B4-BE49-F238E27FC236}">
                <a16:creationId xmlns:a16="http://schemas.microsoft.com/office/drawing/2014/main" id="{705FE077-47AE-3D1B-DB54-40D2D54C06AE}"/>
              </a:ext>
            </a:extLst>
          </xdr:cNvPr>
          <xdr:cNvSpPr/>
        </xdr:nvSpPr>
        <xdr:spPr>
          <a:xfrm>
            <a:off x="992592" y="35023"/>
            <a:ext cx="104594" cy="57117"/>
          </a:xfrm>
          <a:custGeom>
            <a:avLst/>
            <a:gdLst>
              <a:gd name="connsiteX0" fmla="*/ 101107 w 101107"/>
              <a:gd name="connsiteY0" fmla="*/ 30232 h 50386"/>
              <a:gd name="connsiteX1" fmla="*/ 101107 w 101107"/>
              <a:gd name="connsiteY1" fmla="*/ 20155 h 50386"/>
              <a:gd name="connsiteX2" fmla="*/ 80886 w 101107"/>
              <a:gd name="connsiteY2" fmla="*/ 0 h 50386"/>
              <a:gd name="connsiteX3" fmla="*/ 0 w 101107"/>
              <a:gd name="connsiteY3" fmla="*/ 0 h 50386"/>
              <a:gd name="connsiteX4" fmla="*/ 0 w 101107"/>
              <a:gd name="connsiteY4" fmla="*/ 30232 h 50386"/>
              <a:gd name="connsiteX5" fmla="*/ 20221 w 101107"/>
              <a:gd name="connsiteY5" fmla="*/ 50387 h 50386"/>
              <a:gd name="connsiteX6" fmla="*/ 80886 w 101107"/>
              <a:gd name="connsiteY6" fmla="*/ 50387 h 50386"/>
              <a:gd name="connsiteX7" fmla="*/ 101107 w 101107"/>
              <a:gd name="connsiteY7" fmla="*/ 30232 h 503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1107" h="50386">
                <a:moveTo>
                  <a:pt x="101107" y="30232"/>
                </a:moveTo>
                <a:lnTo>
                  <a:pt x="101107" y="20155"/>
                </a:lnTo>
                <a:cubicBezTo>
                  <a:pt x="101107" y="9070"/>
                  <a:pt x="92008" y="0"/>
                  <a:pt x="80886" y="0"/>
                </a:cubicBezTo>
                <a:lnTo>
                  <a:pt x="0" y="0"/>
                </a:lnTo>
                <a:lnTo>
                  <a:pt x="0" y="30232"/>
                </a:lnTo>
                <a:cubicBezTo>
                  <a:pt x="0" y="41317"/>
                  <a:pt x="9100" y="50387"/>
                  <a:pt x="20221" y="50387"/>
                </a:cubicBezTo>
                <a:lnTo>
                  <a:pt x="80886" y="50387"/>
                </a:lnTo>
                <a:cubicBezTo>
                  <a:pt x="92008" y="50387"/>
                  <a:pt x="101107" y="41317"/>
                  <a:pt x="101107" y="30232"/>
                </a:cubicBezTo>
              </a:path>
            </a:pathLst>
          </a:custGeom>
          <a:solidFill>
            <a:schemeClr val="tx1"/>
          </a:solidFill>
          <a:ln w="4961" cap="flat">
            <a:noFill/>
            <a:prstDash val="solid"/>
            <a:miter/>
          </a:ln>
        </xdr:spPr>
        <xdr:txBody>
          <a:bodyPr rtlCol="0" anchor="ctr"/>
          <a:lstStyle/>
          <a:p>
            <a:endParaRPr lang="fr-FR"/>
          </a:p>
        </xdr:txBody>
      </xdr:sp>
      <xdr:sp macro="" textlink="">
        <xdr:nvSpPr>
          <xdr:cNvPr id="4" name="Forme libre : forme 3">
            <a:extLst>
              <a:ext uri="{FF2B5EF4-FFF2-40B4-BE49-F238E27FC236}">
                <a16:creationId xmlns:a16="http://schemas.microsoft.com/office/drawing/2014/main" id="{2C65EE8A-6F30-909A-DAC1-726F381ACEC1}"/>
              </a:ext>
            </a:extLst>
          </xdr:cNvPr>
          <xdr:cNvSpPr/>
        </xdr:nvSpPr>
        <xdr:spPr>
          <a:xfrm>
            <a:off x="1032239" y="93668"/>
            <a:ext cx="31549" cy="68925"/>
          </a:xfrm>
          <a:custGeom>
            <a:avLst/>
            <a:gdLst>
              <a:gd name="connsiteX0" fmla="*/ 10111 w 20221"/>
              <a:gd name="connsiteY0" fmla="*/ 0 h 60464"/>
              <a:gd name="connsiteX1" fmla="*/ 0 w 20221"/>
              <a:gd name="connsiteY1" fmla="*/ 10077 h 60464"/>
              <a:gd name="connsiteX2" fmla="*/ 0 w 20221"/>
              <a:gd name="connsiteY2" fmla="*/ 50387 h 60464"/>
              <a:gd name="connsiteX3" fmla="*/ 10111 w 20221"/>
              <a:gd name="connsiteY3" fmla="*/ 60464 h 60464"/>
              <a:gd name="connsiteX4" fmla="*/ 20221 w 20221"/>
              <a:gd name="connsiteY4" fmla="*/ 50387 h 60464"/>
              <a:gd name="connsiteX5" fmla="*/ 20221 w 20221"/>
              <a:gd name="connsiteY5" fmla="*/ 10077 h 60464"/>
              <a:gd name="connsiteX6" fmla="*/ 10111 w 20221"/>
              <a:gd name="connsiteY6" fmla="*/ 0 h 604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221" h="60464">
                <a:moveTo>
                  <a:pt x="10111" y="0"/>
                </a:moveTo>
                <a:cubicBezTo>
                  <a:pt x="4550" y="0"/>
                  <a:pt x="0" y="4535"/>
                  <a:pt x="0" y="10077"/>
                </a:cubicBezTo>
                <a:lnTo>
                  <a:pt x="0" y="50387"/>
                </a:lnTo>
                <a:cubicBezTo>
                  <a:pt x="0" y="55930"/>
                  <a:pt x="4550" y="60464"/>
                  <a:pt x="10111" y="60464"/>
                </a:cubicBezTo>
                <a:cubicBezTo>
                  <a:pt x="15672" y="60464"/>
                  <a:pt x="20221" y="55930"/>
                  <a:pt x="20221" y="50387"/>
                </a:cubicBezTo>
                <a:lnTo>
                  <a:pt x="20221" y="10077"/>
                </a:lnTo>
                <a:cubicBezTo>
                  <a:pt x="20221" y="4535"/>
                  <a:pt x="15672" y="0"/>
                  <a:pt x="10111" y="0"/>
                </a:cubicBezTo>
              </a:path>
            </a:pathLst>
          </a:custGeom>
          <a:solidFill>
            <a:schemeClr val="tx1"/>
          </a:solidFill>
          <a:ln w="4961" cap="flat">
            <a:noFill/>
            <a:prstDash val="solid"/>
            <a:miter/>
          </a:ln>
        </xdr:spPr>
        <xdr:txBody>
          <a:bodyPr rtlCol="0" anchor="ctr"/>
          <a:lstStyle/>
          <a:p>
            <a:endParaRPr lang="fr-FR"/>
          </a:p>
        </xdr:txBody>
      </xdr:sp>
      <xdr:sp macro="" textlink="">
        <xdr:nvSpPr>
          <xdr:cNvPr id="5" name="Forme libre : forme 4">
            <a:extLst>
              <a:ext uri="{FF2B5EF4-FFF2-40B4-BE49-F238E27FC236}">
                <a16:creationId xmlns:a16="http://schemas.microsoft.com/office/drawing/2014/main" id="{6F57C9F2-65B0-4717-0F1D-D94C3B185C42}"/>
              </a:ext>
            </a:extLst>
          </xdr:cNvPr>
          <xdr:cNvSpPr/>
        </xdr:nvSpPr>
        <xdr:spPr>
          <a:xfrm>
            <a:off x="1069054" y="98891"/>
            <a:ext cx="54607" cy="46108"/>
          </a:xfrm>
          <a:custGeom>
            <a:avLst/>
            <a:gdLst>
              <a:gd name="connsiteX0" fmla="*/ 46004 w 49037"/>
              <a:gd name="connsiteY0" fmla="*/ 31744 h 48875"/>
              <a:gd name="connsiteX1" fmla="*/ 17188 w 49037"/>
              <a:gd name="connsiteY1" fmla="*/ 3023 h 48875"/>
              <a:gd name="connsiteX2" fmla="*/ 3033 w 49037"/>
              <a:gd name="connsiteY2" fmla="*/ 3023 h 48875"/>
              <a:gd name="connsiteX3" fmla="*/ 3033 w 49037"/>
              <a:gd name="connsiteY3" fmla="*/ 17132 h 48875"/>
              <a:gd name="connsiteX4" fmla="*/ 31849 w 49037"/>
              <a:gd name="connsiteY4" fmla="*/ 45852 h 48875"/>
              <a:gd name="connsiteX5" fmla="*/ 38926 w 49037"/>
              <a:gd name="connsiteY5" fmla="*/ 48875 h 48875"/>
              <a:gd name="connsiteX6" fmla="*/ 46004 w 49037"/>
              <a:gd name="connsiteY6" fmla="*/ 45852 h 48875"/>
              <a:gd name="connsiteX7" fmla="*/ 46004 w 49037"/>
              <a:gd name="connsiteY7" fmla="*/ 31744 h 48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9037" h="48875">
                <a:moveTo>
                  <a:pt x="46004" y="31744"/>
                </a:moveTo>
                <a:lnTo>
                  <a:pt x="17188" y="3023"/>
                </a:lnTo>
                <a:cubicBezTo>
                  <a:pt x="13144" y="-1008"/>
                  <a:pt x="7077" y="-1008"/>
                  <a:pt x="3033" y="3023"/>
                </a:cubicBezTo>
                <a:cubicBezTo>
                  <a:pt x="-1011" y="7054"/>
                  <a:pt x="-1011" y="13101"/>
                  <a:pt x="3033" y="17132"/>
                </a:cubicBezTo>
                <a:lnTo>
                  <a:pt x="31849" y="45852"/>
                </a:lnTo>
                <a:cubicBezTo>
                  <a:pt x="33871" y="47868"/>
                  <a:pt x="36399" y="48875"/>
                  <a:pt x="38926" y="48875"/>
                </a:cubicBezTo>
                <a:cubicBezTo>
                  <a:pt x="41454" y="48875"/>
                  <a:pt x="43982" y="47868"/>
                  <a:pt x="46004" y="45852"/>
                </a:cubicBezTo>
                <a:cubicBezTo>
                  <a:pt x="50048" y="42325"/>
                  <a:pt x="50048" y="35775"/>
                  <a:pt x="46004" y="31744"/>
                </a:cubicBezTo>
              </a:path>
            </a:pathLst>
          </a:custGeom>
          <a:solidFill>
            <a:schemeClr val="tx1"/>
          </a:solidFill>
          <a:ln w="4961" cap="flat">
            <a:noFill/>
            <a:prstDash val="solid"/>
            <a:miter/>
          </a:ln>
        </xdr:spPr>
        <xdr:txBody>
          <a:bodyPr rtlCol="0" anchor="ctr"/>
          <a:lstStyle/>
          <a:p>
            <a:endParaRPr lang="fr-FR"/>
          </a:p>
        </xdr:txBody>
      </xdr:sp>
      <xdr:sp macro="" textlink="">
        <xdr:nvSpPr>
          <xdr:cNvPr id="6" name="Forme libre : forme 5">
            <a:extLst>
              <a:ext uri="{FF2B5EF4-FFF2-40B4-BE49-F238E27FC236}">
                <a16:creationId xmlns:a16="http://schemas.microsoft.com/office/drawing/2014/main" id="{9E17D1C6-FBF9-2FE0-3574-C19D1A74F14F}"/>
              </a:ext>
            </a:extLst>
          </xdr:cNvPr>
          <xdr:cNvSpPr/>
        </xdr:nvSpPr>
        <xdr:spPr>
          <a:xfrm>
            <a:off x="973879" y="93668"/>
            <a:ext cx="56485" cy="51826"/>
          </a:xfrm>
          <a:custGeom>
            <a:avLst/>
            <a:gdLst>
              <a:gd name="connsiteX0" fmla="*/ 31849 w 49037"/>
              <a:gd name="connsiteY0" fmla="*/ 3023 h 48875"/>
              <a:gd name="connsiteX1" fmla="*/ 3033 w 49037"/>
              <a:gd name="connsiteY1" fmla="*/ 31744 h 48875"/>
              <a:gd name="connsiteX2" fmla="*/ 3033 w 49037"/>
              <a:gd name="connsiteY2" fmla="*/ 45852 h 48875"/>
              <a:gd name="connsiteX3" fmla="*/ 10111 w 49037"/>
              <a:gd name="connsiteY3" fmla="*/ 48875 h 48875"/>
              <a:gd name="connsiteX4" fmla="*/ 17188 w 49037"/>
              <a:gd name="connsiteY4" fmla="*/ 45852 h 48875"/>
              <a:gd name="connsiteX5" fmla="*/ 46004 w 49037"/>
              <a:gd name="connsiteY5" fmla="*/ 17132 h 48875"/>
              <a:gd name="connsiteX6" fmla="*/ 46004 w 49037"/>
              <a:gd name="connsiteY6" fmla="*/ 3023 h 48875"/>
              <a:gd name="connsiteX7" fmla="*/ 31849 w 49037"/>
              <a:gd name="connsiteY7" fmla="*/ 3023 h 48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9037" h="48875">
                <a:moveTo>
                  <a:pt x="31849" y="3023"/>
                </a:moveTo>
                <a:lnTo>
                  <a:pt x="3033" y="31744"/>
                </a:lnTo>
                <a:cubicBezTo>
                  <a:pt x="-1011" y="35775"/>
                  <a:pt x="-1011" y="41821"/>
                  <a:pt x="3033" y="45852"/>
                </a:cubicBezTo>
                <a:cubicBezTo>
                  <a:pt x="5055" y="47868"/>
                  <a:pt x="7583" y="48875"/>
                  <a:pt x="10111" y="48875"/>
                </a:cubicBezTo>
                <a:cubicBezTo>
                  <a:pt x="12638" y="48875"/>
                  <a:pt x="15166" y="47868"/>
                  <a:pt x="17188" y="45852"/>
                </a:cubicBezTo>
                <a:lnTo>
                  <a:pt x="46004" y="17132"/>
                </a:lnTo>
                <a:cubicBezTo>
                  <a:pt x="50048" y="13101"/>
                  <a:pt x="50048" y="7054"/>
                  <a:pt x="46004" y="3023"/>
                </a:cubicBezTo>
                <a:cubicBezTo>
                  <a:pt x="41960" y="-1008"/>
                  <a:pt x="35893" y="-1008"/>
                  <a:pt x="31849" y="3023"/>
                </a:cubicBezTo>
              </a:path>
            </a:pathLst>
          </a:custGeom>
          <a:solidFill>
            <a:schemeClr val="tx1"/>
          </a:solidFill>
          <a:ln w="4961" cap="flat">
            <a:noFill/>
            <a:prstDash val="solid"/>
            <a:miter/>
          </a:ln>
        </xdr:spPr>
        <xdr:txBody>
          <a:bodyPr rtlCol="0" anchor="ctr"/>
          <a:lstStyle/>
          <a:p>
            <a:endParaRPr lang="fr-FR"/>
          </a:p>
        </xdr:txBody>
      </xdr:sp>
      <xdr:sp macro="" textlink="">
        <xdr:nvSpPr>
          <xdr:cNvPr id="7" name="Forme libre : forme 6">
            <a:extLst>
              <a:ext uri="{FF2B5EF4-FFF2-40B4-BE49-F238E27FC236}">
                <a16:creationId xmlns:a16="http://schemas.microsoft.com/office/drawing/2014/main" id="{30EA7D60-4257-4BDF-8ACD-21A4F409A440}"/>
              </a:ext>
            </a:extLst>
          </xdr:cNvPr>
          <xdr:cNvSpPr/>
        </xdr:nvSpPr>
        <xdr:spPr>
          <a:xfrm>
            <a:off x="799661" y="35518"/>
            <a:ext cx="172704" cy="436119"/>
          </a:xfrm>
          <a:custGeom>
            <a:avLst/>
            <a:gdLst>
              <a:gd name="connsiteX0" fmla="*/ 20221 w 161771"/>
              <a:gd name="connsiteY0" fmla="*/ 150657 h 442901"/>
              <a:gd name="connsiteX1" fmla="*/ 20221 w 161771"/>
              <a:gd name="connsiteY1" fmla="*/ 357244 h 442901"/>
              <a:gd name="connsiteX2" fmla="*/ 5055 w 161771"/>
              <a:gd name="connsiteY2" fmla="*/ 357244 h 442901"/>
              <a:gd name="connsiteX3" fmla="*/ 0 w 161771"/>
              <a:gd name="connsiteY3" fmla="*/ 442902 h 442901"/>
              <a:gd name="connsiteX4" fmla="*/ 70775 w 161771"/>
              <a:gd name="connsiteY4" fmla="*/ 442902 h 442901"/>
              <a:gd name="connsiteX5" fmla="*/ 65720 w 161771"/>
              <a:gd name="connsiteY5" fmla="*/ 357244 h 442901"/>
              <a:gd name="connsiteX6" fmla="*/ 50554 w 161771"/>
              <a:gd name="connsiteY6" fmla="*/ 357244 h 442901"/>
              <a:gd name="connsiteX7" fmla="*/ 50554 w 161771"/>
              <a:gd name="connsiteY7" fmla="*/ 150657 h 442901"/>
              <a:gd name="connsiteX8" fmla="*/ 161772 w 161771"/>
              <a:gd name="connsiteY8" fmla="*/ 30232 h 442901"/>
              <a:gd name="connsiteX9" fmla="*/ 161772 w 161771"/>
              <a:gd name="connsiteY9" fmla="*/ 0 h 442901"/>
              <a:gd name="connsiteX10" fmla="*/ 20221 w 161771"/>
              <a:gd name="connsiteY10" fmla="*/ 150657 h 4429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61771" h="442901">
                <a:moveTo>
                  <a:pt x="20221" y="150657"/>
                </a:moveTo>
                <a:lnTo>
                  <a:pt x="20221" y="357244"/>
                </a:lnTo>
                <a:lnTo>
                  <a:pt x="5055" y="357244"/>
                </a:lnTo>
                <a:lnTo>
                  <a:pt x="0" y="442902"/>
                </a:lnTo>
                <a:lnTo>
                  <a:pt x="70775" y="442902"/>
                </a:lnTo>
                <a:lnTo>
                  <a:pt x="65720" y="357244"/>
                </a:lnTo>
                <a:lnTo>
                  <a:pt x="50554" y="357244"/>
                </a:lnTo>
                <a:lnTo>
                  <a:pt x="50554" y="150657"/>
                </a:lnTo>
                <a:cubicBezTo>
                  <a:pt x="50554" y="87169"/>
                  <a:pt x="99591" y="35271"/>
                  <a:pt x="161772" y="30232"/>
                </a:cubicBezTo>
                <a:lnTo>
                  <a:pt x="161772" y="0"/>
                </a:lnTo>
                <a:cubicBezTo>
                  <a:pt x="82908" y="5039"/>
                  <a:pt x="20221" y="70542"/>
                  <a:pt x="20221" y="150657"/>
                </a:cubicBezTo>
              </a:path>
            </a:pathLst>
          </a:custGeom>
          <a:solidFill>
            <a:sysClr val="window" lastClr="FFFFFF"/>
          </a:solidFill>
          <a:ln w="4961" cap="flat">
            <a:noFill/>
            <a:prstDash val="solid"/>
            <a:miter/>
          </a:ln>
        </xdr:spPr>
        <xdr:txBody>
          <a:bodyPr rtlCol="0" anchor="ctr"/>
          <a:lstStyle/>
          <a:p>
            <a:endParaRPr lang="fr-F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40912</xdr:colOff>
      <xdr:row>0</xdr:row>
      <xdr:rowOff>45868</xdr:rowOff>
    </xdr:from>
    <xdr:to>
      <xdr:col>1</xdr:col>
      <xdr:colOff>590608</xdr:colOff>
      <xdr:row>1</xdr:row>
      <xdr:rowOff>210989</xdr:rowOff>
    </xdr:to>
    <xdr:pic>
      <xdr:nvPicPr>
        <xdr:cNvPr id="7" name="Graphique 2" descr="Panneaux solaires avec un remplissage uni">
          <a:extLst>
            <a:ext uri="{FF2B5EF4-FFF2-40B4-BE49-F238E27FC236}">
              <a16:creationId xmlns:a16="http://schemas.microsoft.com/office/drawing/2014/main" id="{931D7C4A-3943-FF18-58BD-64BB52A0FA4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b="22400"/>
        <a:stretch/>
      </xdr:blipFill>
      <xdr:spPr>
        <a:xfrm>
          <a:off x="707662" y="45868"/>
          <a:ext cx="549696" cy="4108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256222</xdr:colOff>
      <xdr:row>4</xdr:row>
      <xdr:rowOff>101917</xdr:rowOff>
    </xdr:from>
    <xdr:to>
      <xdr:col>9</xdr:col>
      <xdr:colOff>540067</xdr:colOff>
      <xdr:row>14</xdr:row>
      <xdr:rowOff>63817</xdr:rowOff>
    </xdr:to>
    <xdr:graphicFrame macro="">
      <xdr:nvGraphicFramePr>
        <xdr:cNvPr id="2" name="Graphique 1">
          <a:extLst>
            <a:ext uri="{FF2B5EF4-FFF2-40B4-BE49-F238E27FC236}">
              <a16:creationId xmlns:a16="http://schemas.microsoft.com/office/drawing/2014/main" id="{56F26999-2455-C926-1D2B-8ABDE22780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602932</xdr:colOff>
      <xdr:row>18</xdr:row>
      <xdr:rowOff>8572</xdr:rowOff>
    </xdr:from>
    <xdr:to>
      <xdr:col>10</xdr:col>
      <xdr:colOff>27622</xdr:colOff>
      <xdr:row>28</xdr:row>
      <xdr:rowOff>10477</xdr:rowOff>
    </xdr:to>
    <xdr:graphicFrame macro="">
      <xdr:nvGraphicFramePr>
        <xdr:cNvPr id="5" name="Graphique 4">
          <a:extLst>
            <a:ext uri="{FF2B5EF4-FFF2-40B4-BE49-F238E27FC236}">
              <a16:creationId xmlns:a16="http://schemas.microsoft.com/office/drawing/2014/main" id="{39ED5320-2474-27CD-6C22-84E36B748B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358588</xdr:colOff>
      <xdr:row>18</xdr:row>
      <xdr:rowOff>87742</xdr:rowOff>
    </xdr:from>
    <xdr:to>
      <xdr:col>20</xdr:col>
      <xdr:colOff>640415</xdr:colOff>
      <xdr:row>28</xdr:row>
      <xdr:rowOff>89647</xdr:rowOff>
    </xdr:to>
    <xdr:graphicFrame macro="">
      <xdr:nvGraphicFramePr>
        <xdr:cNvPr id="6" name="Graphique 5">
          <a:extLst>
            <a:ext uri="{FF2B5EF4-FFF2-40B4-BE49-F238E27FC236}">
              <a16:creationId xmlns:a16="http://schemas.microsoft.com/office/drawing/2014/main" id="{129444C1-C8CC-4EC4-BC7F-FF0AF1626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427728</xdr:colOff>
      <xdr:row>28</xdr:row>
      <xdr:rowOff>8741</xdr:rowOff>
    </xdr:from>
    <xdr:to>
      <xdr:col>20</xdr:col>
      <xdr:colOff>707650</xdr:colOff>
      <xdr:row>38</xdr:row>
      <xdr:rowOff>136376</xdr:rowOff>
    </xdr:to>
    <xdr:graphicFrame macro="">
      <xdr:nvGraphicFramePr>
        <xdr:cNvPr id="7" name="Graphique 6">
          <a:extLst>
            <a:ext uri="{FF2B5EF4-FFF2-40B4-BE49-F238E27FC236}">
              <a16:creationId xmlns:a16="http://schemas.microsoft.com/office/drawing/2014/main" id="{D4615517-FB9C-4D4F-B726-3763DB7DB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571500</xdr:colOff>
      <xdr:row>38</xdr:row>
      <xdr:rowOff>179295</xdr:rowOff>
    </xdr:from>
    <xdr:to>
      <xdr:col>20</xdr:col>
      <xdr:colOff>847612</xdr:colOff>
      <xdr:row>49</xdr:row>
      <xdr:rowOff>56590</xdr:rowOff>
    </xdr:to>
    <xdr:graphicFrame macro="">
      <xdr:nvGraphicFramePr>
        <xdr:cNvPr id="8" name="Graphique 7">
          <a:extLst>
            <a:ext uri="{FF2B5EF4-FFF2-40B4-BE49-F238E27FC236}">
              <a16:creationId xmlns:a16="http://schemas.microsoft.com/office/drawing/2014/main" id="{831C84DC-5B0A-4874-8C6C-541ADAD02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750794</xdr:colOff>
      <xdr:row>51</xdr:row>
      <xdr:rowOff>179294</xdr:rowOff>
    </xdr:from>
    <xdr:to>
      <xdr:col>10</xdr:col>
      <xdr:colOff>171674</xdr:colOff>
      <xdr:row>61</xdr:row>
      <xdr:rowOff>181199</xdr:rowOff>
    </xdr:to>
    <xdr:graphicFrame macro="">
      <xdr:nvGraphicFramePr>
        <xdr:cNvPr id="9" name="Graphique 8">
          <a:extLst>
            <a:ext uri="{FF2B5EF4-FFF2-40B4-BE49-F238E27FC236}">
              <a16:creationId xmlns:a16="http://schemas.microsoft.com/office/drawing/2014/main" id="{D8BB038C-9F3A-4D6A-847D-13D4B7E5E0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474343</xdr:colOff>
      <xdr:row>52</xdr:row>
      <xdr:rowOff>98164</xdr:rowOff>
    </xdr:from>
    <xdr:to>
      <xdr:col>20</xdr:col>
      <xdr:colOff>737793</xdr:colOff>
      <xdr:row>60</xdr:row>
      <xdr:rowOff>105223</xdr:rowOff>
    </xdr:to>
    <xdr:graphicFrame macro="">
      <xdr:nvGraphicFramePr>
        <xdr:cNvPr id="10" name="Graphique 9">
          <a:extLst>
            <a:ext uri="{FF2B5EF4-FFF2-40B4-BE49-F238E27FC236}">
              <a16:creationId xmlns:a16="http://schemas.microsoft.com/office/drawing/2014/main" id="{E20EBBAE-8693-4A86-687D-120F588754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0.39005</cdr:x>
      <cdr:y>0.45699</cdr:y>
    </cdr:from>
    <cdr:to>
      <cdr:x>0.59829</cdr:x>
      <cdr:y>0.61084</cdr:y>
    </cdr:to>
    <cdr:sp macro="" textlink="Résultats!$C$9">
      <cdr:nvSpPr>
        <cdr:cNvPr id="2" name="ZoneTexte 1">
          <a:extLst xmlns:a="http://schemas.openxmlformats.org/drawingml/2006/main">
            <a:ext uri="{FF2B5EF4-FFF2-40B4-BE49-F238E27FC236}">
              <a16:creationId xmlns:a16="http://schemas.microsoft.com/office/drawing/2014/main" id="{8D4760EA-7C6B-C74C-C2EB-6289A6E0E958}"/>
            </a:ext>
          </a:extLst>
        </cdr:cNvPr>
        <cdr:cNvSpPr txBox="1"/>
      </cdr:nvSpPr>
      <cdr:spPr>
        <a:xfrm xmlns:a="http://schemas.openxmlformats.org/drawingml/2006/main">
          <a:off x="1784033" y="1244918"/>
          <a:ext cx="95250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A81E5BD-AAE4-4CFB-A9A1-E4A6B4A3A9E9}" type="TxLink">
            <a:rPr lang="en-US" sz="1600" b="1" i="0" u="none" strike="noStrike">
              <a:solidFill>
                <a:srgbClr val="262626"/>
              </a:solidFill>
              <a:latin typeface="Dubai"/>
              <a:cs typeface="Dubai"/>
            </a:rPr>
            <a:pPr algn="ctr"/>
            <a:t>0</a:t>
          </a:fld>
          <a:endParaRPr lang="fr-FR" sz="1600" b="1">
            <a:solidFill>
              <a:schemeClr val="tx1"/>
            </a:solidFill>
            <a:latin typeface="+mj-lt"/>
          </a:endParaRPr>
        </a:p>
      </cdr:txBody>
    </cdr:sp>
  </cdr:relSizeAnchor>
  <cdr:relSizeAnchor xmlns:cdr="http://schemas.openxmlformats.org/drawingml/2006/chartDrawing">
    <cdr:from>
      <cdr:x>0.39012</cdr:x>
      <cdr:y>0.55012</cdr:y>
    </cdr:from>
    <cdr:to>
      <cdr:x>0.59836</cdr:x>
      <cdr:y>0.70396</cdr:y>
    </cdr:to>
    <cdr:sp macro="" textlink="">
      <cdr:nvSpPr>
        <cdr:cNvPr id="3" name="ZoneTexte 1">
          <a:extLst xmlns:a="http://schemas.openxmlformats.org/drawingml/2006/main">
            <a:ext uri="{FF2B5EF4-FFF2-40B4-BE49-F238E27FC236}">
              <a16:creationId xmlns:a16="http://schemas.microsoft.com/office/drawing/2014/main" id="{AA84CF72-A4E2-90D3-ECC2-3A6F987729F3}"/>
            </a:ext>
          </a:extLst>
        </cdr:cNvPr>
        <cdr:cNvSpPr txBox="1"/>
      </cdr:nvSpPr>
      <cdr:spPr>
        <a:xfrm xmlns:a="http://schemas.openxmlformats.org/drawingml/2006/main">
          <a:off x="1784350" y="1498600"/>
          <a:ext cx="952500" cy="419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i="0" u="none" strike="noStrike">
              <a:solidFill>
                <a:srgbClr val="262626"/>
              </a:solidFill>
              <a:latin typeface="Dubai"/>
              <a:cs typeface="Dubai"/>
            </a:rPr>
            <a:t>tCO</a:t>
          </a:r>
          <a:r>
            <a:rPr lang="en-US" sz="1600" b="1" i="0" u="none" strike="noStrike" baseline="-25000">
              <a:solidFill>
                <a:srgbClr val="262626"/>
              </a:solidFill>
              <a:latin typeface="Dubai"/>
              <a:cs typeface="Dubai"/>
            </a:rPr>
            <a:t>2</a:t>
          </a:r>
          <a:r>
            <a:rPr lang="en-US" sz="1600" b="1" i="0" u="none" strike="noStrike">
              <a:solidFill>
                <a:srgbClr val="262626"/>
              </a:solidFill>
              <a:latin typeface="Dubai"/>
              <a:cs typeface="Dubai"/>
            </a:rPr>
            <a:t>e</a:t>
          </a:r>
          <a:endParaRPr lang="fr-FR" sz="1600" b="1">
            <a:solidFill>
              <a:schemeClr val="tx1"/>
            </a:solidFill>
            <a:latin typeface="+mj-lt"/>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0.32055</cdr:x>
      <cdr:y>0.2779</cdr:y>
    </cdr:from>
    <cdr:to>
      <cdr:x>0.49206</cdr:x>
      <cdr:y>0.3758</cdr:y>
    </cdr:to>
    <cdr:grpSp>
      <cdr:nvGrpSpPr>
        <cdr:cNvPr id="4" name="Groupe 3">
          <a:extLst xmlns:a="http://schemas.openxmlformats.org/drawingml/2006/main">
            <a:ext uri="{FF2B5EF4-FFF2-40B4-BE49-F238E27FC236}">
              <a16:creationId xmlns:a16="http://schemas.microsoft.com/office/drawing/2014/main" id="{8E57ACD9-7200-9B22-765A-055A95E3E80F}"/>
            </a:ext>
          </a:extLst>
        </cdr:cNvPr>
        <cdr:cNvGrpSpPr/>
      </cdr:nvGrpSpPr>
      <cdr:grpSpPr>
        <a:xfrm xmlns:a="http://schemas.openxmlformats.org/drawingml/2006/main">
          <a:off x="1464333" y="760218"/>
          <a:ext cx="783491" cy="267813"/>
          <a:chOff x="1510058" y="699732"/>
          <a:chExt cx="786893" cy="269643"/>
        </a:xfrm>
      </cdr:grpSpPr>
      <cdr:sp macro="" textlink="Résultats!$C$24">
        <cdr:nvSpPr>
          <cdr:cNvPr id="2" name="ZoneTexte 1">
            <a:extLst xmlns:a="http://schemas.openxmlformats.org/drawingml/2006/main">
              <a:ext uri="{FF2B5EF4-FFF2-40B4-BE49-F238E27FC236}">
                <a16:creationId xmlns:a16="http://schemas.microsoft.com/office/drawing/2014/main" id="{0B263246-2036-C841-138A-6206CCAC81F0}"/>
              </a:ext>
            </a:extLst>
          </cdr:cNvPr>
          <cdr:cNvSpPr txBox="1"/>
        </cdr:nvSpPr>
        <cdr:spPr>
          <a:xfrm xmlns:a="http://schemas.openxmlformats.org/drawingml/2006/main">
            <a:off x="1510058" y="700849"/>
            <a:ext cx="306115" cy="268526"/>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fld id="{DAF8BC6E-66EC-4C82-9E3C-5EF794784C61}" type="TxLink">
              <a:rPr lang="en-US" sz="1100" b="1" i="0" u="none" strike="noStrike">
                <a:solidFill>
                  <a:srgbClr val="262626"/>
                </a:solidFill>
                <a:latin typeface="Dubai"/>
                <a:cs typeface="Dubai"/>
              </a:rPr>
              <a:pPr/>
              <a:t>0,00</a:t>
            </a:fld>
            <a:endParaRPr lang="fr-FR" sz="1100"/>
          </a:p>
        </cdr:txBody>
      </cdr:sp>
      <cdr:sp macro="" textlink="">
        <cdr:nvSpPr>
          <cdr:cNvPr id="3" name="ZoneTexte 1">
            <a:extLst xmlns:a="http://schemas.openxmlformats.org/drawingml/2006/main">
              <a:ext uri="{FF2B5EF4-FFF2-40B4-BE49-F238E27FC236}">
                <a16:creationId xmlns:a16="http://schemas.microsoft.com/office/drawing/2014/main" id="{7E38C4A3-4BAD-515E-0F2D-09D80C547935}"/>
              </a:ext>
            </a:extLst>
          </cdr:cNvPr>
          <cdr:cNvSpPr txBox="1"/>
        </cdr:nvSpPr>
        <cdr:spPr>
          <a:xfrm xmlns:a="http://schemas.openxmlformats.org/drawingml/2006/main">
            <a:off x="1612337" y="699732"/>
            <a:ext cx="684614" cy="26852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latin typeface="+mj-lt"/>
              </a:rPr>
              <a:t>tCO</a:t>
            </a:r>
            <a:r>
              <a:rPr lang="fr-FR" sz="1100" b="1" baseline="-25000">
                <a:latin typeface="+mj-lt"/>
              </a:rPr>
              <a:t>2</a:t>
            </a:r>
            <a:r>
              <a:rPr lang="fr-FR" sz="1100" b="1">
                <a:latin typeface="+mj-lt"/>
              </a:rPr>
              <a:t>e</a:t>
            </a:r>
          </a:p>
        </cdr:txBody>
      </cdr:sp>
    </cdr:grpSp>
  </cdr:relSizeAnchor>
</c:userShapes>
</file>

<file path=xl/drawings/drawing8.xml><?xml version="1.0" encoding="utf-8"?>
<c:userShapes xmlns:c="http://schemas.openxmlformats.org/drawingml/2006/chart">
  <cdr:relSizeAnchor xmlns:cdr="http://schemas.openxmlformats.org/drawingml/2006/chartDrawing">
    <cdr:from>
      <cdr:x>0.39408</cdr:x>
      <cdr:y>0.28678</cdr:y>
    </cdr:from>
    <cdr:to>
      <cdr:x>0.85922</cdr:x>
      <cdr:y>0.38492</cdr:y>
    </cdr:to>
    <cdr:grpSp>
      <cdr:nvGrpSpPr>
        <cdr:cNvPr id="4" name="Groupe 3">
          <a:extLst xmlns:a="http://schemas.openxmlformats.org/drawingml/2006/main">
            <a:ext uri="{FF2B5EF4-FFF2-40B4-BE49-F238E27FC236}">
              <a16:creationId xmlns:a16="http://schemas.microsoft.com/office/drawing/2014/main" id="{0BBA29F4-BEAD-3958-00D9-BCC752C2CB47}"/>
            </a:ext>
          </a:extLst>
        </cdr:cNvPr>
        <cdr:cNvGrpSpPr/>
      </cdr:nvGrpSpPr>
      <cdr:grpSpPr>
        <a:xfrm xmlns:a="http://schemas.openxmlformats.org/drawingml/2006/main">
          <a:off x="1797936" y="784510"/>
          <a:ext cx="2122137" cy="268469"/>
          <a:chOff x="1804430" y="789885"/>
          <a:chExt cx="754994" cy="270308"/>
        </a:xfrm>
      </cdr:grpSpPr>
      <cdr:sp macro="" textlink="Résultats!$C$24">
        <cdr:nvSpPr>
          <cdr:cNvPr id="2" name="ZoneTexte 1">
            <a:extLst xmlns:a="http://schemas.openxmlformats.org/drawingml/2006/main">
              <a:ext uri="{FF2B5EF4-FFF2-40B4-BE49-F238E27FC236}">
                <a16:creationId xmlns:a16="http://schemas.microsoft.com/office/drawing/2014/main" id="{0B263246-2036-C841-138A-6206CCAC81F0}"/>
              </a:ext>
            </a:extLst>
          </cdr:cNvPr>
          <cdr:cNvSpPr txBox="1"/>
        </cdr:nvSpPr>
        <cdr:spPr>
          <a:xfrm xmlns:a="http://schemas.openxmlformats.org/drawingml/2006/main">
            <a:off x="1804430" y="791676"/>
            <a:ext cx="305542" cy="268517"/>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fld id="{DAF8BC6E-66EC-4C82-9E3C-5EF794784C61}" type="TxLink">
              <a:rPr lang="en-US" sz="1100" b="1" i="0" u="none" strike="noStrike">
                <a:solidFill>
                  <a:srgbClr val="262626"/>
                </a:solidFill>
                <a:latin typeface="Dubai"/>
                <a:cs typeface="Dubai"/>
              </a:rPr>
              <a:pPr/>
              <a:t>0,00</a:t>
            </a:fld>
            <a:endParaRPr lang="fr-FR" sz="1100"/>
          </a:p>
        </cdr:txBody>
      </cdr:sp>
      <cdr:sp macro="" textlink="">
        <cdr:nvSpPr>
          <cdr:cNvPr id="3" name="ZoneTexte 1">
            <a:extLst xmlns:a="http://schemas.openxmlformats.org/drawingml/2006/main">
              <a:ext uri="{FF2B5EF4-FFF2-40B4-BE49-F238E27FC236}">
                <a16:creationId xmlns:a16="http://schemas.microsoft.com/office/drawing/2014/main" id="{7E38C4A3-4BAD-515E-0F2D-09D80C547935}"/>
              </a:ext>
            </a:extLst>
          </cdr:cNvPr>
          <cdr:cNvSpPr txBox="1"/>
        </cdr:nvSpPr>
        <cdr:spPr>
          <a:xfrm xmlns:a="http://schemas.openxmlformats.org/drawingml/2006/main">
            <a:off x="1911772" y="789885"/>
            <a:ext cx="647652" cy="26851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latin typeface="+mj-lt"/>
              </a:rPr>
              <a:t>tCO</a:t>
            </a:r>
            <a:r>
              <a:rPr lang="fr-FR" sz="1100" b="1" baseline="-25000">
                <a:latin typeface="+mj-lt"/>
              </a:rPr>
              <a:t>2</a:t>
            </a:r>
            <a:r>
              <a:rPr lang="fr-FR" sz="1100" b="1">
                <a:latin typeface="+mj-lt"/>
              </a:rPr>
              <a:t>e</a:t>
            </a:r>
          </a:p>
        </cdr:txBody>
      </cdr:sp>
    </cdr:grpSp>
  </cdr:relSizeAnchor>
</c:userShapes>
</file>

<file path=xl/drawings/drawing9.xml><?xml version="1.0" encoding="utf-8"?>
<c:userShapes xmlns:c="http://schemas.openxmlformats.org/drawingml/2006/chart">
  <cdr:relSizeAnchor xmlns:cdr="http://schemas.openxmlformats.org/drawingml/2006/chartDrawing">
    <cdr:from>
      <cdr:x>0.33724</cdr:x>
      <cdr:y>0.27604</cdr:y>
    </cdr:from>
    <cdr:to>
      <cdr:x>0.82594</cdr:x>
      <cdr:y>0.37487</cdr:y>
    </cdr:to>
    <cdr:grpSp>
      <cdr:nvGrpSpPr>
        <cdr:cNvPr id="4" name="Groupe 3">
          <a:extLst xmlns:a="http://schemas.openxmlformats.org/drawingml/2006/main">
            <a:ext uri="{FF2B5EF4-FFF2-40B4-BE49-F238E27FC236}">
              <a16:creationId xmlns:a16="http://schemas.microsoft.com/office/drawing/2014/main" id="{BD1CA0BD-E55C-DB96-7B3E-BB4AC0A12ECD}"/>
            </a:ext>
          </a:extLst>
        </cdr:cNvPr>
        <cdr:cNvGrpSpPr/>
      </cdr:nvGrpSpPr>
      <cdr:grpSpPr>
        <a:xfrm xmlns:a="http://schemas.openxmlformats.org/drawingml/2006/main">
          <a:off x="1537969" y="788258"/>
          <a:ext cx="2228695" cy="282219"/>
          <a:chOff x="1480348" y="743476"/>
          <a:chExt cx="786117" cy="285345"/>
        </a:xfrm>
      </cdr:grpSpPr>
      <cdr:sp macro="" textlink="Résultats!$N$34">
        <cdr:nvSpPr>
          <cdr:cNvPr id="2" name="ZoneTexte 1">
            <a:extLst xmlns:a="http://schemas.openxmlformats.org/drawingml/2006/main">
              <a:ext uri="{FF2B5EF4-FFF2-40B4-BE49-F238E27FC236}">
                <a16:creationId xmlns:a16="http://schemas.microsoft.com/office/drawing/2014/main" id="{0B263246-2036-C841-138A-6206CCAC81F0}"/>
              </a:ext>
            </a:extLst>
          </cdr:cNvPr>
          <cdr:cNvSpPr txBox="1"/>
        </cdr:nvSpPr>
        <cdr:spPr>
          <a:xfrm xmlns:a="http://schemas.openxmlformats.org/drawingml/2006/main">
            <a:off x="1480348" y="743476"/>
            <a:ext cx="304700" cy="281496"/>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fld id="{61D1850E-D071-4249-A6D9-CC98A7C98A0C}" type="TxLink">
              <a:rPr lang="en-US" sz="1100" b="1" i="0" u="none" strike="noStrike">
                <a:solidFill>
                  <a:srgbClr val="262626"/>
                </a:solidFill>
                <a:latin typeface="Dubai"/>
                <a:cs typeface="Dubai"/>
              </a:rPr>
              <a:pPr/>
              <a:t>0,00</a:t>
            </a:fld>
            <a:endParaRPr lang="fr-FR" sz="1100"/>
          </a:p>
        </cdr:txBody>
      </cdr:sp>
      <cdr:sp macro="" textlink="">
        <cdr:nvSpPr>
          <cdr:cNvPr id="3" name="ZoneTexte 1">
            <a:extLst xmlns:a="http://schemas.openxmlformats.org/drawingml/2006/main">
              <a:ext uri="{FF2B5EF4-FFF2-40B4-BE49-F238E27FC236}">
                <a16:creationId xmlns:a16="http://schemas.microsoft.com/office/drawing/2014/main" id="{7E38C4A3-4BAD-515E-0F2D-09D80C547935}"/>
              </a:ext>
            </a:extLst>
          </cdr:cNvPr>
          <cdr:cNvSpPr txBox="1"/>
        </cdr:nvSpPr>
        <cdr:spPr>
          <a:xfrm xmlns:a="http://schemas.openxmlformats.org/drawingml/2006/main">
            <a:off x="1585101" y="747326"/>
            <a:ext cx="681364" cy="28149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latin typeface="+mj-lt"/>
              </a:rPr>
              <a:t>tCO</a:t>
            </a:r>
            <a:r>
              <a:rPr lang="fr-FR" sz="1100" b="1" baseline="-25000">
                <a:latin typeface="+mj-lt"/>
              </a:rPr>
              <a:t>2</a:t>
            </a:r>
            <a:r>
              <a:rPr lang="fr-FR" sz="1100" b="1">
                <a:latin typeface="+mj-lt"/>
              </a:rPr>
              <a:t>e</a:t>
            </a:r>
          </a:p>
        </cdr:txBody>
      </cdr:sp>
    </cdr:grpSp>
  </cdr:relSizeAnchor>
</c:userShapes>
</file>

<file path=xl/drawings/drawing10.xml><?xml version="1.0" encoding="utf-8"?>
<c:userShapes xmlns:c="http://schemas.openxmlformats.org/drawingml/2006/chart">
  <cdr:relSizeAnchor xmlns:cdr="http://schemas.openxmlformats.org/drawingml/2006/chartDrawing">
    <cdr:from>
      <cdr:x>0.33724</cdr:x>
      <cdr:y>0.21286</cdr:y>
    </cdr:from>
    <cdr:to>
      <cdr:x>0.81511</cdr:x>
      <cdr:y>0.31169</cdr:y>
    </cdr:to>
    <cdr:grpSp>
      <cdr:nvGrpSpPr>
        <cdr:cNvPr id="4" name="Groupe 3">
          <a:extLst xmlns:a="http://schemas.openxmlformats.org/drawingml/2006/main">
            <a:ext uri="{FF2B5EF4-FFF2-40B4-BE49-F238E27FC236}">
              <a16:creationId xmlns:a16="http://schemas.microsoft.com/office/drawing/2014/main" id="{BD1CA0BD-E55C-DB96-7B3E-BB4AC0A12ECD}"/>
            </a:ext>
          </a:extLst>
        </cdr:cNvPr>
        <cdr:cNvGrpSpPr/>
      </cdr:nvGrpSpPr>
      <cdr:grpSpPr>
        <a:xfrm xmlns:a="http://schemas.openxmlformats.org/drawingml/2006/main">
          <a:off x="1539253" y="609702"/>
          <a:ext cx="2181127" cy="283083"/>
          <a:chOff x="1480348" y="743476"/>
          <a:chExt cx="786117" cy="285345"/>
        </a:xfrm>
      </cdr:grpSpPr>
      <cdr:sp macro="" textlink="Résultats!$N$44">
        <cdr:nvSpPr>
          <cdr:cNvPr id="2" name="ZoneTexte 1">
            <a:extLst xmlns:a="http://schemas.openxmlformats.org/drawingml/2006/main">
              <a:ext uri="{FF2B5EF4-FFF2-40B4-BE49-F238E27FC236}">
                <a16:creationId xmlns:a16="http://schemas.microsoft.com/office/drawing/2014/main" id="{0B263246-2036-C841-138A-6206CCAC81F0}"/>
              </a:ext>
            </a:extLst>
          </cdr:cNvPr>
          <cdr:cNvSpPr txBox="1"/>
        </cdr:nvSpPr>
        <cdr:spPr>
          <a:xfrm xmlns:a="http://schemas.openxmlformats.org/drawingml/2006/main">
            <a:off x="1480348" y="743476"/>
            <a:ext cx="304700" cy="281496"/>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fld id="{16E6E859-B41D-43D8-8EFA-5816E344142E}" type="TxLink">
              <a:rPr lang="en-US" sz="1100" b="1" i="0" u="none" strike="noStrike">
                <a:solidFill>
                  <a:srgbClr val="262626"/>
                </a:solidFill>
                <a:latin typeface="Dubai"/>
                <a:cs typeface="Dubai"/>
              </a:rPr>
              <a:pPr/>
              <a:t>0,00</a:t>
            </a:fld>
            <a:endParaRPr lang="fr-FR" sz="1100"/>
          </a:p>
        </cdr:txBody>
      </cdr:sp>
      <cdr:sp macro="" textlink="">
        <cdr:nvSpPr>
          <cdr:cNvPr id="3" name="ZoneTexte 1">
            <a:extLst xmlns:a="http://schemas.openxmlformats.org/drawingml/2006/main">
              <a:ext uri="{FF2B5EF4-FFF2-40B4-BE49-F238E27FC236}">
                <a16:creationId xmlns:a16="http://schemas.microsoft.com/office/drawing/2014/main" id="{7E38C4A3-4BAD-515E-0F2D-09D80C547935}"/>
              </a:ext>
            </a:extLst>
          </cdr:cNvPr>
          <cdr:cNvSpPr txBox="1"/>
        </cdr:nvSpPr>
        <cdr:spPr>
          <a:xfrm xmlns:a="http://schemas.openxmlformats.org/drawingml/2006/main">
            <a:off x="1585101" y="747326"/>
            <a:ext cx="681364" cy="28149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latin typeface="+mj-lt"/>
              </a:rPr>
              <a:t>tCO</a:t>
            </a:r>
            <a:r>
              <a:rPr lang="fr-FR" sz="1100" b="1" baseline="-25000">
                <a:latin typeface="+mj-lt"/>
              </a:rPr>
              <a:t>2</a:t>
            </a:r>
            <a:r>
              <a:rPr lang="fr-FR" sz="1100" b="1">
                <a:latin typeface="+mj-lt"/>
              </a:rPr>
              <a:t>e</a:t>
            </a:r>
          </a:p>
        </cdr:txBody>
      </cdr:sp>
    </cdr:grpSp>
  </cdr:relSizeAnchor>
</c:userShapes>
</file>

<file path=xl/drawings/drawing11.xml><?xml version="1.0" encoding="utf-8"?>
<c:userShapes xmlns:c="http://schemas.openxmlformats.org/drawingml/2006/chart">
  <cdr:relSizeAnchor xmlns:cdr="http://schemas.openxmlformats.org/drawingml/2006/chartDrawing">
    <cdr:from>
      <cdr:x>0.32055</cdr:x>
      <cdr:y>0.2779</cdr:y>
    </cdr:from>
    <cdr:to>
      <cdr:x>0.82797</cdr:x>
      <cdr:y>0.3758</cdr:y>
    </cdr:to>
    <cdr:grpSp>
      <cdr:nvGrpSpPr>
        <cdr:cNvPr id="4" name="Groupe 3">
          <a:extLst xmlns:a="http://schemas.openxmlformats.org/drawingml/2006/main">
            <a:ext uri="{FF2B5EF4-FFF2-40B4-BE49-F238E27FC236}">
              <a16:creationId xmlns:a16="http://schemas.microsoft.com/office/drawing/2014/main" id="{8E57ACD9-7200-9B22-765A-055A95E3E80F}"/>
            </a:ext>
          </a:extLst>
        </cdr:cNvPr>
        <cdr:cNvGrpSpPr/>
      </cdr:nvGrpSpPr>
      <cdr:grpSpPr>
        <a:xfrm xmlns:a="http://schemas.openxmlformats.org/drawingml/2006/main">
          <a:off x="1462501" y="969330"/>
          <a:ext cx="2315091" cy="341481"/>
          <a:chOff x="1510058" y="699732"/>
          <a:chExt cx="786893" cy="269643"/>
        </a:xfrm>
      </cdr:grpSpPr>
      <cdr:sp macro="" textlink="Résultats!$C$56">
        <cdr:nvSpPr>
          <cdr:cNvPr id="2" name="ZoneTexte 1">
            <a:extLst xmlns:a="http://schemas.openxmlformats.org/drawingml/2006/main">
              <a:ext uri="{FF2B5EF4-FFF2-40B4-BE49-F238E27FC236}">
                <a16:creationId xmlns:a16="http://schemas.microsoft.com/office/drawing/2014/main" id="{0B263246-2036-C841-138A-6206CCAC81F0}"/>
              </a:ext>
            </a:extLst>
          </cdr:cNvPr>
          <cdr:cNvSpPr txBox="1"/>
        </cdr:nvSpPr>
        <cdr:spPr>
          <a:xfrm xmlns:a="http://schemas.openxmlformats.org/drawingml/2006/main">
            <a:off x="1510058" y="700849"/>
            <a:ext cx="306115" cy="268526"/>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fld id="{341EB7B9-8944-4490-B6C3-E65EF8948DDA}" type="TxLink">
              <a:rPr lang="en-US" sz="1100" b="1" i="0" u="none" strike="noStrike">
                <a:solidFill>
                  <a:srgbClr val="262626"/>
                </a:solidFill>
                <a:latin typeface="Dubai"/>
                <a:cs typeface="Dubai"/>
              </a:rPr>
              <a:pPr/>
              <a:t>0,00</a:t>
            </a:fld>
            <a:endParaRPr lang="fr-FR" sz="1100"/>
          </a:p>
        </cdr:txBody>
      </cdr:sp>
      <cdr:sp macro="" textlink="">
        <cdr:nvSpPr>
          <cdr:cNvPr id="3" name="ZoneTexte 1">
            <a:extLst xmlns:a="http://schemas.openxmlformats.org/drawingml/2006/main">
              <a:ext uri="{FF2B5EF4-FFF2-40B4-BE49-F238E27FC236}">
                <a16:creationId xmlns:a16="http://schemas.microsoft.com/office/drawing/2014/main" id="{7E38C4A3-4BAD-515E-0F2D-09D80C547935}"/>
              </a:ext>
            </a:extLst>
          </cdr:cNvPr>
          <cdr:cNvSpPr txBox="1"/>
        </cdr:nvSpPr>
        <cdr:spPr>
          <a:xfrm xmlns:a="http://schemas.openxmlformats.org/drawingml/2006/main">
            <a:off x="1612337" y="699732"/>
            <a:ext cx="684614" cy="26852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latin typeface="+mj-lt"/>
              </a:rPr>
              <a:t>tCO</a:t>
            </a:r>
            <a:r>
              <a:rPr lang="fr-FR" sz="1100" b="1" baseline="-25000">
                <a:latin typeface="+mj-lt"/>
              </a:rPr>
              <a:t>2</a:t>
            </a:r>
            <a:r>
              <a:rPr lang="fr-FR" sz="1100" b="1">
                <a:latin typeface="+mj-lt"/>
              </a:rPr>
              <a:t>e</a:t>
            </a:r>
          </a:p>
        </cdr:txBody>
      </cdr:sp>
    </cdr:grpSp>
  </cdr:relSizeAnchor>
</c:userShapes>
</file>

<file path=xl/theme/theme1.xml><?xml version="1.0" encoding="utf-8"?>
<a:theme xmlns:a="http://schemas.openxmlformats.org/drawingml/2006/main" name="ekodev">
  <a:themeElements>
    <a:clrScheme name="Ekodev 2023">
      <a:dk1>
        <a:srgbClr val="262626"/>
      </a:dk1>
      <a:lt1>
        <a:srgbClr val="FFFFFF"/>
      </a:lt1>
      <a:dk2>
        <a:srgbClr val="003034"/>
      </a:dk2>
      <a:lt2>
        <a:srgbClr val="054147"/>
      </a:lt2>
      <a:accent1>
        <a:srgbClr val="9BC5C7"/>
      </a:accent1>
      <a:accent2>
        <a:srgbClr val="70A1A3"/>
      </a:accent2>
      <a:accent3>
        <a:srgbClr val="FFDC59"/>
      </a:accent3>
      <a:accent4>
        <a:srgbClr val="EBC22B"/>
      </a:accent4>
      <a:accent5>
        <a:srgbClr val="E9ECEF"/>
      </a:accent5>
      <a:accent6>
        <a:srgbClr val="FEFFFF"/>
      </a:accent6>
      <a:hlink>
        <a:srgbClr val="FEFFFF"/>
      </a:hlink>
      <a:folHlink>
        <a:srgbClr val="FEFFFF"/>
      </a:folHlink>
    </a:clrScheme>
    <a:fontScheme name="ekodev">
      <a:majorFont>
        <a:latin typeface="Dubai"/>
        <a:ea typeface=""/>
        <a:cs typeface=""/>
      </a:majorFont>
      <a:minorFont>
        <a:latin typeface="Dubai Light"/>
        <a:ea typeface=""/>
        <a:cs typeface=""/>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ersonnalisé 1">
    <a:dk1>
      <a:srgbClr val="262626"/>
    </a:dk1>
    <a:lt1>
      <a:srgbClr val="FFFFFF"/>
    </a:lt1>
    <a:dk2>
      <a:srgbClr val="003034"/>
    </a:dk2>
    <a:lt2>
      <a:srgbClr val="054147"/>
    </a:lt2>
    <a:accent1>
      <a:srgbClr val="9BC5C7"/>
    </a:accent1>
    <a:accent2>
      <a:srgbClr val="70A1A3"/>
    </a:accent2>
    <a:accent3>
      <a:srgbClr val="FFDC59"/>
    </a:accent3>
    <a:accent4>
      <a:srgbClr val="EBC22B"/>
    </a:accent4>
    <a:accent5>
      <a:srgbClr val="E9ECEF"/>
    </a:accent5>
    <a:accent6>
      <a:srgbClr val="FEFFFF"/>
    </a:accent6>
    <a:hlink>
      <a:srgbClr val="003034"/>
    </a:hlink>
    <a:folHlink>
      <a:srgbClr val="003034"/>
    </a:folHlink>
  </a:clrScheme>
  <a:fontScheme name="ekodev">
    <a:majorFont>
      <a:latin typeface="Dubai"/>
      <a:ea typeface=""/>
      <a:cs typeface=""/>
    </a:majorFont>
    <a:minorFont>
      <a:latin typeface="Duba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N64"/>
  <sheetViews>
    <sheetView tabSelected="1" zoomScale="80" zoomScaleNormal="80" workbookViewId="0">
      <selection activeCell="D19" sqref="D19:M20"/>
    </sheetView>
  </sheetViews>
  <sheetFormatPr baseColWidth="10" defaultColWidth="0" defaultRowHeight="19.8" zeroHeight="1" x14ac:dyDescent="0.65"/>
  <cols>
    <col min="1" max="1" width="8.796875" style="1" customWidth="1"/>
    <col min="2" max="2" width="20.5" style="1" customWidth="1"/>
    <col min="3" max="14" width="8.796875" style="1" customWidth="1"/>
    <col min="15" max="16384" width="8.796875" style="1" hidden="1"/>
  </cols>
  <sheetData>
    <row r="1" spans="2:13" x14ac:dyDescent="0.65">
      <c r="B1" s="121" t="s">
        <v>18</v>
      </c>
      <c r="C1" s="122"/>
      <c r="D1" s="122"/>
      <c r="E1" s="122"/>
      <c r="F1" s="122"/>
      <c r="G1" s="122"/>
      <c r="H1" s="122"/>
      <c r="I1" s="122"/>
      <c r="J1" s="122"/>
      <c r="K1" s="122"/>
      <c r="L1" s="122"/>
      <c r="M1" s="123"/>
    </row>
    <row r="2" spans="2:13" ht="20.399999999999999" thickBot="1" x14ac:dyDescent="0.7">
      <c r="B2" s="124"/>
      <c r="C2" s="125"/>
      <c r="D2" s="125"/>
      <c r="E2" s="125"/>
      <c r="F2" s="125"/>
      <c r="G2" s="125"/>
      <c r="H2" s="125"/>
      <c r="I2" s="125"/>
      <c r="J2" s="125"/>
      <c r="K2" s="125"/>
      <c r="L2" s="125"/>
      <c r="M2" s="126"/>
    </row>
    <row r="3" spans="2:13" x14ac:dyDescent="0.65">
      <c r="B3" s="120" t="s">
        <v>7</v>
      </c>
      <c r="C3" s="120"/>
      <c r="D3" s="120"/>
      <c r="E3" s="120"/>
      <c r="F3" s="120"/>
      <c r="G3" s="120"/>
      <c r="H3" s="120"/>
      <c r="I3" s="120"/>
      <c r="J3" s="120"/>
      <c r="K3" s="120"/>
      <c r="L3" s="120"/>
      <c r="M3" s="120"/>
    </row>
    <row r="4" spans="2:13" x14ac:dyDescent="0.65">
      <c r="B4" s="119" t="s">
        <v>17</v>
      </c>
      <c r="C4" s="119"/>
      <c r="D4" s="119"/>
      <c r="E4" s="119"/>
      <c r="F4" s="119"/>
      <c r="G4" s="119"/>
      <c r="H4" s="119"/>
      <c r="I4" s="119"/>
      <c r="J4" s="119"/>
      <c r="K4" s="119"/>
      <c r="L4" s="119"/>
      <c r="M4" s="119"/>
    </row>
    <row r="5" spans="2:13" x14ac:dyDescent="0.65">
      <c r="B5" s="1" t="s">
        <v>8</v>
      </c>
      <c r="D5"/>
      <c r="G5"/>
    </row>
    <row r="6" spans="2:13" x14ac:dyDescent="0.65">
      <c r="B6" s="1" t="s">
        <v>9</v>
      </c>
    </row>
    <row r="7" spans="2:13" x14ac:dyDescent="0.65">
      <c r="B7" s="1" t="s">
        <v>10</v>
      </c>
      <c r="I7"/>
    </row>
    <row r="8" spans="2:13" ht="20.399999999999999" thickBot="1" x14ac:dyDescent="0.7"/>
    <row r="9" spans="2:13" ht="20.399999999999999" thickBot="1" x14ac:dyDescent="0.7">
      <c r="B9" s="2" t="s">
        <v>15</v>
      </c>
      <c r="C9" s="10">
        <v>30</v>
      </c>
    </row>
    <row r="10" spans="2:13" x14ac:dyDescent="0.65"/>
    <row r="11" spans="2:13" s="8" customFormat="1" x14ac:dyDescent="0.65">
      <c r="B11" s="7" t="s">
        <v>11</v>
      </c>
    </row>
    <row r="12" spans="2:13" ht="20.399999999999999" thickBot="1" x14ac:dyDescent="0.7"/>
    <row r="13" spans="2:13" ht="20.399999999999999" customHeight="1" thickBot="1" x14ac:dyDescent="0.7">
      <c r="B13" s="12" t="s">
        <v>12</v>
      </c>
      <c r="D13" s="118" t="s">
        <v>16</v>
      </c>
      <c r="E13" s="118"/>
      <c r="F13" s="118"/>
      <c r="G13" s="118"/>
      <c r="H13" s="118"/>
      <c r="I13" s="118"/>
      <c r="J13" s="118"/>
      <c r="K13" s="118"/>
      <c r="L13" s="118"/>
      <c r="M13" s="118"/>
    </row>
    <row r="14" spans="2:13" x14ac:dyDescent="0.65">
      <c r="D14" s="118"/>
      <c r="E14" s="118"/>
      <c r="F14" s="118"/>
      <c r="G14" s="118"/>
      <c r="H14" s="118"/>
      <c r="I14" s="118"/>
      <c r="J14" s="118"/>
      <c r="K14" s="118"/>
      <c r="L14" s="118"/>
      <c r="M14" s="118"/>
    </row>
    <row r="15" spans="2:13" ht="20.399999999999999" thickBot="1" x14ac:dyDescent="0.7">
      <c r="D15" s="117"/>
      <c r="E15" s="117"/>
      <c r="F15" s="117"/>
      <c r="G15" s="117"/>
      <c r="H15" s="117"/>
      <c r="I15" s="117"/>
      <c r="J15" s="117"/>
      <c r="K15" s="117"/>
      <c r="L15" s="117"/>
      <c r="M15" s="117"/>
    </row>
    <row r="16" spans="2:13" ht="20.399999999999999" customHeight="1" thickBot="1" x14ac:dyDescent="0.7">
      <c r="B16" s="13" t="s">
        <v>0</v>
      </c>
      <c r="D16" s="118" t="s">
        <v>198</v>
      </c>
      <c r="E16" s="118"/>
      <c r="F16" s="118"/>
      <c r="G16" s="118"/>
      <c r="H16" s="118"/>
      <c r="I16" s="118"/>
      <c r="J16" s="118"/>
      <c r="K16" s="118"/>
      <c r="L16" s="118"/>
      <c r="M16" s="118"/>
    </row>
    <row r="17" spans="2:13" x14ac:dyDescent="0.65">
      <c r="D17" s="118"/>
      <c r="E17" s="118"/>
      <c r="F17" s="118"/>
      <c r="G17" s="118"/>
      <c r="H17" s="118"/>
      <c r="I17" s="118"/>
      <c r="J17" s="118"/>
      <c r="K17" s="118"/>
      <c r="L17" s="118"/>
      <c r="M17" s="118"/>
    </row>
    <row r="18" spans="2:13" ht="20.399999999999999" thickBot="1" x14ac:dyDescent="0.7">
      <c r="D18" s="117"/>
      <c r="E18" s="117"/>
      <c r="F18" s="117"/>
      <c r="G18" s="117"/>
      <c r="H18" s="117"/>
      <c r="I18" s="117"/>
      <c r="J18" s="117"/>
      <c r="K18" s="117"/>
      <c r="L18" s="117"/>
      <c r="M18" s="117"/>
    </row>
    <row r="19" spans="2:13" ht="20.399999999999999" customHeight="1" thickBot="1" x14ac:dyDescent="0.7">
      <c r="B19" s="14" t="s">
        <v>13</v>
      </c>
      <c r="D19" s="118" t="s">
        <v>199</v>
      </c>
      <c r="E19" s="118"/>
      <c r="F19" s="118"/>
      <c r="G19" s="118"/>
      <c r="H19" s="118"/>
      <c r="I19" s="118"/>
      <c r="J19" s="118"/>
      <c r="K19" s="118"/>
      <c r="L19" s="118"/>
      <c r="M19" s="118"/>
    </row>
    <row r="20" spans="2:13" x14ac:dyDescent="0.65">
      <c r="D20" s="118"/>
      <c r="E20" s="118"/>
      <c r="F20" s="118"/>
      <c r="G20" s="118"/>
      <c r="H20" s="118"/>
      <c r="I20" s="118"/>
      <c r="J20" s="118"/>
      <c r="K20" s="118"/>
      <c r="L20" s="118"/>
      <c r="M20" s="118"/>
    </row>
    <row r="21" spans="2:13" ht="20.399999999999999" thickBot="1" x14ac:dyDescent="0.7">
      <c r="D21" s="117"/>
      <c r="E21" s="117"/>
      <c r="F21" s="117"/>
      <c r="G21" s="117"/>
      <c r="H21" s="117"/>
      <c r="I21" s="117"/>
      <c r="J21" s="117"/>
      <c r="K21" s="117"/>
      <c r="L21" s="117"/>
      <c r="M21" s="117"/>
    </row>
    <row r="22" spans="2:13" ht="20.399999999999999" customHeight="1" thickBot="1" x14ac:dyDescent="0.7">
      <c r="B22" s="15" t="s">
        <v>14</v>
      </c>
      <c r="D22" s="118" t="s">
        <v>200</v>
      </c>
      <c r="E22" s="118"/>
      <c r="F22" s="118"/>
      <c r="G22" s="118"/>
      <c r="H22" s="118"/>
      <c r="I22" s="118"/>
      <c r="J22" s="118"/>
      <c r="K22" s="118"/>
      <c r="L22" s="118"/>
      <c r="M22" s="118"/>
    </row>
    <row r="23" spans="2:13" x14ac:dyDescent="0.65">
      <c r="D23" s="118"/>
      <c r="E23" s="118"/>
      <c r="F23" s="118"/>
      <c r="G23" s="118"/>
      <c r="H23" s="118"/>
      <c r="I23" s="118"/>
      <c r="J23" s="118"/>
      <c r="K23" s="118"/>
      <c r="L23" s="118"/>
      <c r="M23" s="118"/>
    </row>
    <row r="24" spans="2:13" ht="20.399999999999999" thickBot="1" x14ac:dyDescent="0.7">
      <c r="D24" s="117"/>
      <c r="E24" s="117"/>
      <c r="F24" s="117"/>
      <c r="G24" s="117"/>
      <c r="H24" s="117"/>
      <c r="I24" s="117"/>
      <c r="J24" s="117"/>
      <c r="K24" s="117"/>
      <c r="L24" s="117"/>
      <c r="M24" s="117"/>
    </row>
    <row r="25" spans="2:13" ht="20.399999999999999" customHeight="1" thickBot="1" x14ac:dyDescent="0.7">
      <c r="B25" s="108" t="s">
        <v>190</v>
      </c>
      <c r="D25" s="118" t="s">
        <v>191</v>
      </c>
      <c r="E25" s="118"/>
      <c r="F25" s="118"/>
      <c r="G25" s="118"/>
      <c r="H25" s="118"/>
      <c r="I25" s="118"/>
      <c r="J25" s="118"/>
      <c r="K25" s="118"/>
      <c r="L25" s="118"/>
      <c r="M25" s="118"/>
    </row>
    <row r="26" spans="2:13" x14ac:dyDescent="0.65">
      <c r="D26" s="118"/>
      <c r="E26" s="118"/>
      <c r="F26" s="118"/>
      <c r="G26" s="118"/>
      <c r="H26" s="118"/>
      <c r="I26" s="118"/>
      <c r="J26" s="118"/>
      <c r="K26" s="118"/>
      <c r="L26" s="118"/>
      <c r="M26" s="118"/>
    </row>
    <row r="27" spans="2:13" ht="20.399999999999999" thickBot="1" x14ac:dyDescent="0.7">
      <c r="D27" s="117"/>
      <c r="E27" s="117"/>
      <c r="F27" s="117"/>
      <c r="G27" s="117"/>
      <c r="H27" s="117"/>
      <c r="I27" s="117"/>
      <c r="J27" s="117"/>
      <c r="K27" s="117"/>
      <c r="L27" s="117"/>
      <c r="M27" s="117"/>
    </row>
    <row r="28" spans="2:13" ht="20.399999999999999" thickBot="1" x14ac:dyDescent="0.7">
      <c r="B28" s="109" t="s">
        <v>192</v>
      </c>
      <c r="D28" s="118" t="s">
        <v>195</v>
      </c>
      <c r="E28" s="118"/>
      <c r="F28" s="118"/>
      <c r="G28" s="118"/>
      <c r="H28" s="118"/>
      <c r="I28" s="118"/>
      <c r="J28" s="118"/>
      <c r="K28" s="118"/>
      <c r="L28" s="118"/>
      <c r="M28" s="118"/>
    </row>
    <row r="29" spans="2:13" x14ac:dyDescent="0.65">
      <c r="D29" s="118"/>
      <c r="E29" s="118"/>
      <c r="F29" s="118"/>
      <c r="G29" s="118"/>
      <c r="H29" s="118"/>
      <c r="I29" s="118"/>
      <c r="J29" s="118"/>
      <c r="K29" s="118"/>
      <c r="L29" s="118"/>
      <c r="M29" s="118"/>
    </row>
    <row r="30" spans="2:13" ht="20.399999999999999" thickBot="1" x14ac:dyDescent="0.7">
      <c r="D30" s="117"/>
      <c r="E30" s="117"/>
      <c r="F30" s="117"/>
      <c r="G30" s="117"/>
      <c r="H30" s="117"/>
      <c r="I30" s="117"/>
      <c r="J30" s="117"/>
      <c r="K30" s="117"/>
      <c r="L30" s="117"/>
      <c r="M30" s="117"/>
    </row>
    <row r="31" spans="2:13" ht="20.399999999999999" thickBot="1" x14ac:dyDescent="0.7">
      <c r="B31" s="109" t="s">
        <v>193</v>
      </c>
      <c r="D31" s="118" t="s">
        <v>196</v>
      </c>
      <c r="E31" s="118"/>
      <c r="F31" s="118"/>
      <c r="G31" s="118"/>
      <c r="H31" s="118"/>
      <c r="I31" s="118"/>
      <c r="J31" s="118"/>
      <c r="K31" s="118"/>
      <c r="L31" s="118"/>
      <c r="M31" s="118"/>
    </row>
    <row r="32" spans="2:13" x14ac:dyDescent="0.65">
      <c r="D32" s="118"/>
      <c r="E32" s="118"/>
      <c r="F32" s="118"/>
      <c r="G32" s="118"/>
      <c r="H32" s="118"/>
      <c r="I32" s="118"/>
      <c r="J32" s="118"/>
      <c r="K32" s="118"/>
      <c r="L32" s="118"/>
      <c r="M32" s="118"/>
    </row>
    <row r="33" spans="2:13" ht="20.399999999999999" thickBot="1" x14ac:dyDescent="0.7">
      <c r="D33" s="117"/>
      <c r="E33" s="117"/>
      <c r="F33" s="117"/>
      <c r="G33" s="117"/>
      <c r="H33" s="117"/>
      <c r="I33" s="117"/>
      <c r="J33" s="117"/>
      <c r="K33" s="117"/>
      <c r="L33" s="117"/>
      <c r="M33" s="117"/>
    </row>
    <row r="34" spans="2:13" ht="20.399999999999999" thickBot="1" x14ac:dyDescent="0.7">
      <c r="B34" s="109" t="s">
        <v>194</v>
      </c>
      <c r="D34" s="118" t="s">
        <v>197</v>
      </c>
      <c r="E34" s="118"/>
      <c r="F34" s="118"/>
      <c r="G34" s="118"/>
      <c r="H34" s="118"/>
      <c r="I34" s="118"/>
      <c r="J34" s="118"/>
      <c r="K34" s="118"/>
      <c r="L34" s="118"/>
      <c r="M34" s="118"/>
    </row>
    <row r="35" spans="2:13" x14ac:dyDescent="0.65">
      <c r="D35" s="118"/>
      <c r="E35" s="118"/>
      <c r="F35" s="118"/>
      <c r="G35" s="118"/>
      <c r="H35" s="118"/>
      <c r="I35" s="118"/>
      <c r="J35" s="118"/>
      <c r="K35" s="118"/>
      <c r="L35" s="118"/>
      <c r="M35" s="118"/>
    </row>
    <row r="36" spans="2:13" x14ac:dyDescent="0.65"/>
    <row r="37" spans="2:13" s="8" customFormat="1" x14ac:dyDescent="0.65">
      <c r="B37" s="7" t="s">
        <v>208</v>
      </c>
    </row>
    <row r="38" spans="2:13" x14ac:dyDescent="0.65"/>
    <row r="39" spans="2:13" ht="19.8" customHeight="1" x14ac:dyDescent="0.65">
      <c r="B39" s="160" t="s">
        <v>209</v>
      </c>
      <c r="C39" s="160"/>
      <c r="D39" s="160"/>
      <c r="E39" s="160"/>
      <c r="F39" s="160"/>
      <c r="G39" s="160"/>
      <c r="H39" s="160"/>
      <c r="I39" s="160"/>
      <c r="J39" s="160"/>
      <c r="K39" s="160"/>
      <c r="L39" s="160"/>
      <c r="M39" s="160"/>
    </row>
    <row r="40" spans="2:13" x14ac:dyDescent="0.65">
      <c r="B40" s="160"/>
      <c r="C40" s="160"/>
      <c r="D40" s="160"/>
      <c r="E40" s="160"/>
      <c r="F40" s="160"/>
      <c r="G40" s="160"/>
      <c r="H40" s="160"/>
      <c r="I40" s="160"/>
      <c r="J40" s="160"/>
      <c r="K40" s="160"/>
      <c r="L40" s="160"/>
      <c r="M40" s="160"/>
    </row>
    <row r="41" spans="2:13" x14ac:dyDescent="0.65">
      <c r="B41" s="160"/>
      <c r="C41" s="160"/>
      <c r="D41" s="160"/>
      <c r="E41" s="160"/>
      <c r="F41" s="160"/>
      <c r="G41" s="160"/>
      <c r="H41" s="160"/>
      <c r="I41" s="160"/>
      <c r="J41" s="160"/>
      <c r="K41" s="160"/>
      <c r="L41" s="160"/>
      <c r="M41" s="160"/>
    </row>
    <row r="42" spans="2:13" ht="20.399999999999999" thickBot="1" x14ac:dyDescent="0.7"/>
    <row r="43" spans="2:13" ht="20.399999999999999" thickBot="1" x14ac:dyDescent="0.7">
      <c r="B43" s="161"/>
      <c r="D43" s="1" t="s">
        <v>210</v>
      </c>
    </row>
    <row r="44" spans="2:13" ht="20.399999999999999" thickBot="1" x14ac:dyDescent="0.7"/>
    <row r="45" spans="2:13" ht="20.399999999999999" thickBot="1" x14ac:dyDescent="0.7">
      <c r="B45" s="162"/>
      <c r="D45" s="1" t="s">
        <v>211</v>
      </c>
    </row>
    <row r="46" spans="2:13" x14ac:dyDescent="0.65"/>
    <row r="49" s="1" customFormat="1" hidden="1" x14ac:dyDescent="0.65"/>
    <row r="50" s="1" customFormat="1" hidden="1" x14ac:dyDescent="0.65"/>
    <row r="51" s="1" customFormat="1" hidden="1" x14ac:dyDescent="0.65"/>
    <row r="52" s="1" customFormat="1" hidden="1" x14ac:dyDescent="0.65"/>
    <row r="53" s="1" customFormat="1" hidden="1" x14ac:dyDescent="0.65"/>
    <row r="54" s="1" customFormat="1" hidden="1" x14ac:dyDescent="0.65"/>
    <row r="55" s="1" customFormat="1" hidden="1" x14ac:dyDescent="0.65"/>
    <row r="56" s="1" customFormat="1" hidden="1" x14ac:dyDescent="0.65"/>
    <row r="57" s="1" customFormat="1" hidden="1" x14ac:dyDescent="0.65"/>
    <row r="58" s="1" customFormat="1" hidden="1" x14ac:dyDescent="0.65"/>
    <row r="59" s="1" customFormat="1" hidden="1" x14ac:dyDescent="0.65"/>
    <row r="60" s="1" customFormat="1" hidden="1" x14ac:dyDescent="0.65"/>
    <row r="61" s="1" customFormat="1" hidden="1" x14ac:dyDescent="0.65"/>
    <row r="62" s="1" customFormat="1" hidden="1" x14ac:dyDescent="0.65"/>
    <row r="63" s="1" customFormat="1" hidden="1" x14ac:dyDescent="0.65"/>
    <row r="64" s="1" customFormat="1" hidden="1" x14ac:dyDescent="0.65"/>
  </sheetData>
  <mergeCells count="12">
    <mergeCell ref="B39:M41"/>
    <mergeCell ref="D19:M20"/>
    <mergeCell ref="B4:M4"/>
    <mergeCell ref="B3:M3"/>
    <mergeCell ref="B1:M2"/>
    <mergeCell ref="D13:M14"/>
    <mergeCell ref="D16:M17"/>
    <mergeCell ref="D25:M26"/>
    <mergeCell ref="D28:M29"/>
    <mergeCell ref="D31:M32"/>
    <mergeCell ref="D34:M35"/>
    <mergeCell ref="D22:M23"/>
  </mergeCells>
  <conditionalFormatting sqref="E9">
    <cfRule type="containsText" dxfId="30" priority="1" operator="containsText" text="La durée de vie du projet est valide.">
      <formula>NOT(ISERROR(SEARCH("La durée de vie du projet est valide.",E9)))</formula>
    </cfRule>
    <cfRule type="containsText" dxfId="29" priority="2" operator="containsText" text="La durée de vie du projet n'est pas valide.">
      <formula>NOT(ISERROR(SEARCH("La durée de vie du projet n'est pas valide.",E9)))</formula>
    </cfRule>
  </conditionalFormatting>
  <hyperlinks>
    <hyperlink ref="B13" location="'Lisez-moi'!A1" display="Lisez-moi" xr:uid="{6B672B5C-BCD4-48D1-B80E-8609CDFD80F8}"/>
    <hyperlink ref="B16" location="Mât!A1" display="Mât" xr:uid="{A60D34CB-DC9D-4749-8347-696C8393A3E3}"/>
    <hyperlink ref="B19" location="Luminaire!A1" display="Luminaire" xr:uid="{110E8C4A-F786-4CF8-A4A5-A00551F603B8}"/>
    <hyperlink ref="B22" location="Photovoltaïque!A1" display="Photovoltaïque" xr:uid="{03549BBE-B6F7-48ED-A59E-4D6CE4734AB8}"/>
    <hyperlink ref="B25" location="Résultats!A1" display="Résultats" xr:uid="{98B1E91F-067D-4FF6-B6F2-2BF479363C97}"/>
    <hyperlink ref="B28" location="Calculs!A1" display="Calculs" xr:uid="{D395A453-7A4A-47C3-B2F2-3E546F99ECF1}"/>
    <hyperlink ref="B31" location="'FE et Ratios'!A1" display="FE et Ratios" xr:uid="{9DA85802-A18F-4A66-852C-625CC52B0390}"/>
    <hyperlink ref="B34" location="Listes!A1" display="Listes" xr:uid="{C3C7973F-E752-41F5-88C9-F2C445C4D5F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CDFFA-0322-4FB7-8249-42E60D52599F}">
  <sheetPr>
    <tabColor theme="0" tint="-0.34998626667073579"/>
  </sheetPr>
  <dimension ref="A1:R31"/>
  <sheetViews>
    <sheetView zoomScaleNormal="100" workbookViewId="0">
      <selection activeCell="H13" sqref="H13:H17"/>
    </sheetView>
  </sheetViews>
  <sheetFormatPr baseColWidth="10" defaultColWidth="0" defaultRowHeight="19.8" zeroHeight="1" x14ac:dyDescent="0.65"/>
  <cols>
    <col min="1" max="1" width="8.796875" style="1" customWidth="1"/>
    <col min="2" max="2" width="36.796875" style="1" customWidth="1"/>
    <col min="3" max="3" width="10.3984375" style="1" customWidth="1"/>
    <col min="4" max="4" width="11.19921875" style="1" customWidth="1"/>
    <col min="5" max="12" width="8.09765625" style="1" customWidth="1"/>
    <col min="13" max="13" width="35.296875" style="1" customWidth="1"/>
    <col min="14" max="14" width="11.19921875" style="1" customWidth="1"/>
    <col min="15" max="18" width="0" style="1" hidden="1" customWidth="1"/>
    <col min="19" max="16384" width="11.19921875" style="1" hidden="1"/>
  </cols>
  <sheetData>
    <row r="1" spans="2:18" x14ac:dyDescent="0.65">
      <c r="B1" s="127" t="s">
        <v>19</v>
      </c>
      <c r="C1" s="128"/>
      <c r="D1" s="128"/>
      <c r="E1" s="128"/>
      <c r="F1" s="128"/>
      <c r="G1" s="128"/>
      <c r="H1" s="128"/>
      <c r="I1" s="128"/>
      <c r="J1" s="128"/>
      <c r="K1" s="128"/>
      <c r="L1" s="128"/>
      <c r="M1" s="129"/>
    </row>
    <row r="2" spans="2:18" ht="20.399999999999999" thickBot="1" x14ac:dyDescent="0.7">
      <c r="B2" s="130"/>
      <c r="C2" s="131"/>
      <c r="D2" s="131"/>
      <c r="E2" s="131"/>
      <c r="F2" s="131"/>
      <c r="G2" s="131"/>
      <c r="H2" s="131"/>
      <c r="I2" s="131"/>
      <c r="J2" s="131"/>
      <c r="K2" s="131"/>
      <c r="L2" s="131"/>
      <c r="M2" s="132"/>
    </row>
    <row r="3" spans="2:18" x14ac:dyDescent="0.65"/>
    <row r="4" spans="2:18" x14ac:dyDescent="0.65">
      <c r="B4" s="4" t="s">
        <v>20</v>
      </c>
    </row>
    <row r="5" spans="2:18" x14ac:dyDescent="0.65">
      <c r="B5" s="3" t="s">
        <v>21</v>
      </c>
      <c r="C5" s="163"/>
      <c r="D5" s="163"/>
      <c r="H5" s="189" t="s">
        <v>227</v>
      </c>
    </row>
    <row r="6" spans="2:18" x14ac:dyDescent="0.65">
      <c r="B6" s="3" t="s">
        <v>220</v>
      </c>
      <c r="C6" s="165"/>
      <c r="D6" s="165"/>
      <c r="H6" s="189" t="s">
        <v>228</v>
      </c>
      <c r="K6" s="5"/>
      <c r="L6" s="5"/>
      <c r="M6" s="5"/>
    </row>
    <row r="7" spans="2:18" x14ac:dyDescent="0.65">
      <c r="B7" s="3" t="s">
        <v>22</v>
      </c>
      <c r="C7" s="166"/>
      <c r="D7" s="166"/>
    </row>
    <row r="8" spans="2:18" x14ac:dyDescent="0.65">
      <c r="B8" s="3" t="s">
        <v>224</v>
      </c>
      <c r="C8" s="167"/>
      <c r="D8" s="168"/>
      <c r="E8" s="134" t="s">
        <v>207</v>
      </c>
      <c r="F8" s="135"/>
    </row>
    <row r="9" spans="2:18" x14ac:dyDescent="0.65">
      <c r="B9" s="3" t="s">
        <v>203</v>
      </c>
      <c r="C9" s="181"/>
      <c r="D9" s="181"/>
      <c r="E9" s="133"/>
      <c r="F9" s="133"/>
      <c r="H9" s="189" t="s">
        <v>229</v>
      </c>
    </row>
    <row r="10" spans="2:18" x14ac:dyDescent="0.65">
      <c r="B10" s="3" t="s">
        <v>223</v>
      </c>
      <c r="C10" s="164"/>
      <c r="D10" s="164"/>
      <c r="H10" s="189" t="s">
        <v>230</v>
      </c>
    </row>
    <row r="11" spans="2:18" x14ac:dyDescent="0.65"/>
    <row r="12" spans="2:18" x14ac:dyDescent="0.65">
      <c r="B12" s="4" t="s">
        <v>25</v>
      </c>
    </row>
    <row r="13" spans="2:18" x14ac:dyDescent="0.65">
      <c r="B13" s="3" t="s">
        <v>21</v>
      </c>
      <c r="C13" s="163"/>
      <c r="D13" s="163"/>
      <c r="H13" s="189" t="s">
        <v>231</v>
      </c>
    </row>
    <row r="14" spans="2:18" x14ac:dyDescent="0.65">
      <c r="B14" s="3" t="s">
        <v>220</v>
      </c>
      <c r="C14" s="165"/>
      <c r="D14" s="165"/>
      <c r="H14" s="189" t="s">
        <v>228</v>
      </c>
      <c r="K14" s="5"/>
      <c r="R14" s="6"/>
    </row>
    <row r="15" spans="2:18" x14ac:dyDescent="0.65">
      <c r="B15" s="3" t="s">
        <v>221</v>
      </c>
      <c r="C15" s="166"/>
      <c r="D15" s="166"/>
      <c r="E15" s="134" t="s">
        <v>207</v>
      </c>
      <c r="F15" s="135"/>
      <c r="R15" s="6"/>
    </row>
    <row r="16" spans="2:18" x14ac:dyDescent="0.65">
      <c r="B16" s="3" t="s">
        <v>203</v>
      </c>
      <c r="C16" s="177"/>
      <c r="D16" s="178"/>
      <c r="E16" s="133"/>
      <c r="F16" s="133"/>
      <c r="H16" s="189" t="s">
        <v>232</v>
      </c>
    </row>
    <row r="17" spans="2:8" x14ac:dyDescent="0.65">
      <c r="B17" s="3" t="s">
        <v>223</v>
      </c>
      <c r="C17" s="164"/>
      <c r="D17" s="164"/>
      <c r="H17" s="189" t="s">
        <v>230</v>
      </c>
    </row>
    <row r="18" spans="2:8" x14ac:dyDescent="0.65"/>
    <row r="19" spans="2:8" x14ac:dyDescent="0.65">
      <c r="B19" s="4" t="s">
        <v>26</v>
      </c>
    </row>
    <row r="20" spans="2:8" x14ac:dyDescent="0.65">
      <c r="B20" s="3" t="s">
        <v>21</v>
      </c>
      <c r="C20" s="163"/>
      <c r="D20" s="163"/>
      <c r="H20" s="189" t="s">
        <v>233</v>
      </c>
    </row>
    <row r="21" spans="2:8" x14ac:dyDescent="0.65">
      <c r="B21" s="3" t="s">
        <v>220</v>
      </c>
      <c r="C21" s="165"/>
      <c r="D21" s="165"/>
      <c r="H21" s="189" t="s">
        <v>228</v>
      </c>
    </row>
    <row r="22" spans="2:8" x14ac:dyDescent="0.65">
      <c r="B22" s="3" t="s">
        <v>221</v>
      </c>
      <c r="C22" s="166"/>
      <c r="D22" s="166"/>
      <c r="E22" s="134" t="s">
        <v>207</v>
      </c>
      <c r="F22" s="135"/>
    </row>
    <row r="23" spans="2:8" x14ac:dyDescent="0.65">
      <c r="B23" s="3" t="s">
        <v>203</v>
      </c>
      <c r="C23" s="177"/>
      <c r="D23" s="178"/>
      <c r="E23" s="133"/>
      <c r="F23" s="133"/>
      <c r="H23" s="189" t="s">
        <v>234</v>
      </c>
    </row>
    <row r="24" spans="2:8" x14ac:dyDescent="0.65">
      <c r="B24" s="3" t="s">
        <v>223</v>
      </c>
      <c r="C24" s="164"/>
      <c r="D24" s="164"/>
      <c r="H24" s="189" t="s">
        <v>230</v>
      </c>
    </row>
    <row r="25" spans="2:8" x14ac:dyDescent="0.65"/>
    <row r="26" spans="2:8" x14ac:dyDescent="0.65"/>
    <row r="27" spans="2:8" x14ac:dyDescent="0.65"/>
    <row r="28" spans="2:8" x14ac:dyDescent="0.65"/>
    <row r="29" spans="2:8" x14ac:dyDescent="0.65"/>
    <row r="30" spans="2:8" x14ac:dyDescent="0.65"/>
    <row r="31" spans="2:8" x14ac:dyDescent="0.65"/>
  </sheetData>
  <mergeCells count="23">
    <mergeCell ref="B1:M2"/>
    <mergeCell ref="E9:F9"/>
    <mergeCell ref="E16:F16"/>
    <mergeCell ref="E23:F23"/>
    <mergeCell ref="E8:F8"/>
    <mergeCell ref="E15:F15"/>
    <mergeCell ref="E22:F22"/>
    <mergeCell ref="C24:D24"/>
    <mergeCell ref="C5:D5"/>
    <mergeCell ref="C6:D6"/>
    <mergeCell ref="C7:D7"/>
    <mergeCell ref="C10:D10"/>
    <mergeCell ref="C13:D13"/>
    <mergeCell ref="C14:D14"/>
    <mergeCell ref="C15:D15"/>
    <mergeCell ref="C17:D17"/>
    <mergeCell ref="C20:D20"/>
    <mergeCell ref="C21:D21"/>
    <mergeCell ref="C22:D22"/>
    <mergeCell ref="C8:D8"/>
    <mergeCell ref="C9:D9"/>
    <mergeCell ref="C16:D16"/>
    <mergeCell ref="C23:D23"/>
  </mergeCells>
  <conditionalFormatting sqref="B6">
    <cfRule type="expression" dxfId="28" priority="9">
      <formula>$C$5="Bois"</formula>
    </cfRule>
  </conditionalFormatting>
  <conditionalFormatting sqref="C6:D6">
    <cfRule type="expression" dxfId="27" priority="10">
      <formula>$C$5="Bois"</formula>
    </cfRule>
  </conditionalFormatting>
  <conditionalFormatting sqref="C14:D14">
    <cfRule type="expression" dxfId="26" priority="8">
      <formula>$C$5="Bois"</formula>
    </cfRule>
  </conditionalFormatting>
  <conditionalFormatting sqref="C21:D21">
    <cfRule type="expression" dxfId="25" priority="7">
      <formula>$C$5="Bois"</formula>
    </cfRule>
  </conditionalFormatting>
  <conditionalFormatting sqref="E8:F8">
    <cfRule type="expression" dxfId="24" priority="6">
      <formula>$C$9="Je connais la donnée"</formula>
    </cfRule>
  </conditionalFormatting>
  <conditionalFormatting sqref="E9:F9">
    <cfRule type="expression" dxfId="23" priority="5">
      <formula>$C$9="Je connais la donnée"</formula>
    </cfRule>
  </conditionalFormatting>
  <conditionalFormatting sqref="E15:F15">
    <cfRule type="expression" dxfId="22" priority="4">
      <formula>$C$16="Je connais la donnée"</formula>
    </cfRule>
  </conditionalFormatting>
  <conditionalFormatting sqref="E16:F16">
    <cfRule type="expression" dxfId="21" priority="3">
      <formula>$C$16="Je connais la donnée"</formula>
    </cfRule>
  </conditionalFormatting>
  <conditionalFormatting sqref="E22:F22">
    <cfRule type="expression" dxfId="20" priority="2">
      <formula>$C$23="Je connais la donnée"</formula>
    </cfRule>
  </conditionalFormatting>
  <conditionalFormatting sqref="E23:F23">
    <cfRule type="expression" dxfId="19" priority="1">
      <formula>$C$23="Je connais la donnée"</formula>
    </cfRule>
  </conditionalFormatting>
  <dataValidations count="4">
    <dataValidation type="list" allowBlank="1" showInputMessage="1" showErrorMessage="1" sqref="C17:D17 C10:D10 C24:D24" xr:uid="{21A2B259-CDE2-4A81-90D3-2877BAED69DE}">
      <formula1>"Ne sais pas (50%),0%,10%,20%,25%,30%,40%,50%,60%,70%,75%,80%,90%,100%"</formula1>
    </dataValidation>
    <dataValidation type="decimal" allowBlank="1" showInputMessage="1" showErrorMessage="1" sqref="C14:D14 C6:D6 C21:D21" xr:uid="{872019A0-2461-4E29-AD70-10C917310F12}">
      <formula1>0</formula1>
      <formula2>1</formula2>
    </dataValidation>
    <dataValidation type="decimal" operator="greaterThan" allowBlank="1" showInputMessage="1" showErrorMessage="1" sqref="C15:D15 C7:D8 C22:D22" xr:uid="{3604E05E-3C34-4B34-B545-F5A666A627F6}">
      <formula1>0</formula1>
    </dataValidation>
    <dataValidation type="list" operator="greaterThan" allowBlank="1" showInputMessage="1" showErrorMessage="1" sqref="C9:D9 C16:D16 C23:D23" xr:uid="{B04E464B-591B-4DB6-8D3F-6BB276AB1E4D}">
      <formula1>"Je connais la donnée,Je ne connais pas la donnée"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6B8F31C0-E8C5-472C-B678-CDBC1F3B45D1}">
          <x14:formula1>
            <xm:f>Listes!$B$5:$B$9</xm:f>
          </x14:formula1>
          <xm:sqref>C5</xm:sqref>
        </x14:dataValidation>
        <x14:dataValidation type="list" allowBlank="1" showInputMessage="1" showErrorMessage="1" xr:uid="{A69417F7-71E3-4CDA-98A4-D91552982968}">
          <x14:formula1>
            <xm:f>Listes!$D$5:$D$8</xm:f>
          </x14:formula1>
          <xm:sqref>C20:D20</xm:sqref>
        </x14:dataValidation>
        <x14:dataValidation type="list" allowBlank="1" showInputMessage="1" showErrorMessage="1" xr:uid="{A3797B89-04D2-422C-8B3B-17E96435DF58}">
          <x14:formula1>
            <xm:f>Listes!$C$5:$C$8</xm:f>
          </x14:formula1>
          <xm:sqref>C13:D13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117DE-7A3A-455D-8628-7E8D0B09A448}">
  <sheetPr>
    <tabColor theme="7"/>
  </sheetPr>
  <dimension ref="A1:R30"/>
  <sheetViews>
    <sheetView zoomScale="110" zoomScaleNormal="110" workbookViewId="0">
      <selection activeCell="G15" sqref="G15"/>
    </sheetView>
  </sheetViews>
  <sheetFormatPr baseColWidth="10" defaultColWidth="0" defaultRowHeight="19.8" zeroHeight="1" x14ac:dyDescent="0.65"/>
  <cols>
    <col min="1" max="1" width="8.796875" style="1" customWidth="1"/>
    <col min="2" max="2" width="42" style="1" bestFit="1" customWidth="1"/>
    <col min="3" max="12" width="8.09765625" style="1" customWidth="1"/>
    <col min="13" max="13" width="35.296875" style="1" customWidth="1"/>
    <col min="14" max="14" width="18.296875" style="1" customWidth="1"/>
    <col min="15" max="18" width="0" style="1" hidden="1" customWidth="1"/>
    <col min="19" max="16384" width="11.19921875" style="1" hidden="1"/>
  </cols>
  <sheetData>
    <row r="1" spans="2:13" x14ac:dyDescent="0.65">
      <c r="B1" s="137" t="s">
        <v>27</v>
      </c>
      <c r="C1" s="138"/>
      <c r="D1" s="138"/>
      <c r="E1" s="138"/>
      <c r="F1" s="138"/>
      <c r="G1" s="138"/>
      <c r="H1" s="138"/>
      <c r="I1" s="138"/>
      <c r="J1" s="138"/>
      <c r="K1" s="138"/>
      <c r="L1" s="138"/>
      <c r="M1" s="139"/>
    </row>
    <row r="2" spans="2:13" ht="20.399999999999999" thickBot="1" x14ac:dyDescent="0.7">
      <c r="B2" s="140"/>
      <c r="C2" s="141"/>
      <c r="D2" s="141"/>
      <c r="E2" s="141"/>
      <c r="F2" s="141"/>
      <c r="G2" s="141"/>
      <c r="H2" s="141"/>
      <c r="I2" s="141"/>
      <c r="J2" s="141"/>
      <c r="K2" s="141"/>
      <c r="L2" s="141"/>
      <c r="M2" s="142"/>
    </row>
    <row r="3" spans="2:13" x14ac:dyDescent="0.65"/>
    <row r="4" spans="2:13" x14ac:dyDescent="0.65">
      <c r="B4" s="4" t="s">
        <v>40</v>
      </c>
      <c r="E4" s="136" t="str">
        <f>IF(C5="Plastique","Type de plastique","")</f>
        <v/>
      </c>
      <c r="F4" s="136"/>
    </row>
    <row r="5" spans="2:13" x14ac:dyDescent="0.65">
      <c r="B5" s="3" t="s">
        <v>21</v>
      </c>
      <c r="C5" s="163"/>
      <c r="D5" s="163"/>
      <c r="E5" s="135"/>
      <c r="F5" s="135"/>
      <c r="G5" s="189" t="s">
        <v>235</v>
      </c>
    </row>
    <row r="6" spans="2:13" x14ac:dyDescent="0.65">
      <c r="B6" s="3" t="s">
        <v>220</v>
      </c>
      <c r="C6" s="165"/>
      <c r="D6" s="165"/>
      <c r="G6" s="189" t="s">
        <v>228</v>
      </c>
      <c r="K6" s="5"/>
      <c r="L6" s="5"/>
      <c r="M6" s="5"/>
    </row>
    <row r="7" spans="2:13" x14ac:dyDescent="0.65">
      <c r="B7" s="3" t="s">
        <v>221</v>
      </c>
      <c r="C7" s="166"/>
      <c r="D7" s="166"/>
      <c r="E7" s="134" t="s">
        <v>222</v>
      </c>
      <c r="F7" s="135"/>
    </row>
    <row r="8" spans="2:13" x14ac:dyDescent="0.65">
      <c r="B8" s="3" t="s">
        <v>203</v>
      </c>
      <c r="C8" s="179"/>
      <c r="D8" s="180"/>
      <c r="E8" s="133"/>
      <c r="F8" s="133"/>
      <c r="G8" s="189" t="s">
        <v>236</v>
      </c>
    </row>
    <row r="9" spans="2:13" x14ac:dyDescent="0.65">
      <c r="B9" s="3" t="s">
        <v>23</v>
      </c>
      <c r="C9" s="164"/>
      <c r="D9" s="164"/>
      <c r="G9" s="189" t="s">
        <v>230</v>
      </c>
    </row>
    <row r="10" spans="2:13" x14ac:dyDescent="0.65"/>
    <row r="11" spans="2:13" x14ac:dyDescent="0.65">
      <c r="B11" s="4" t="s">
        <v>43</v>
      </c>
      <c r="E11" s="136"/>
      <c r="F11" s="136"/>
    </row>
    <row r="12" spans="2:13" x14ac:dyDescent="0.65">
      <c r="B12" s="3" t="s">
        <v>21</v>
      </c>
      <c r="C12" s="163"/>
      <c r="D12" s="163"/>
      <c r="E12" s="135"/>
      <c r="F12" s="135"/>
      <c r="G12" s="189" t="s">
        <v>237</v>
      </c>
    </row>
    <row r="13" spans="2:13" x14ac:dyDescent="0.65">
      <c r="B13" s="3" t="s">
        <v>220</v>
      </c>
      <c r="C13" s="165"/>
      <c r="D13" s="165"/>
      <c r="G13" s="189" t="s">
        <v>228</v>
      </c>
      <c r="K13" s="5"/>
      <c r="L13" s="5"/>
      <c r="M13" s="5"/>
    </row>
    <row r="14" spans="2:13" x14ac:dyDescent="0.65">
      <c r="B14" s="3" t="s">
        <v>221</v>
      </c>
      <c r="C14" s="166"/>
      <c r="D14" s="166"/>
      <c r="E14" s="134" t="s">
        <v>222</v>
      </c>
      <c r="F14" s="135"/>
    </row>
    <row r="15" spans="2:13" x14ac:dyDescent="0.65">
      <c r="B15" s="3" t="s">
        <v>203</v>
      </c>
      <c r="C15" s="179"/>
      <c r="D15" s="180"/>
      <c r="E15" s="133"/>
      <c r="F15" s="133"/>
      <c r="G15" s="189" t="s">
        <v>238</v>
      </c>
    </row>
    <row r="16" spans="2:13" x14ac:dyDescent="0.65">
      <c r="B16" s="3" t="s">
        <v>223</v>
      </c>
      <c r="C16" s="164"/>
      <c r="D16" s="164"/>
      <c r="G16" s="189" t="s">
        <v>230</v>
      </c>
    </row>
    <row r="17" spans="2:18" x14ac:dyDescent="0.65"/>
    <row r="18" spans="2:18" x14ac:dyDescent="0.65">
      <c r="B18" s="4" t="s">
        <v>42</v>
      </c>
      <c r="E18" s="3" t="s">
        <v>239</v>
      </c>
      <c r="F18" s="190"/>
    </row>
    <row r="19" spans="2:18" x14ac:dyDescent="0.65">
      <c r="B19" s="3" t="s">
        <v>214</v>
      </c>
      <c r="C19" s="169"/>
      <c r="D19" s="169"/>
      <c r="E19" s="175"/>
      <c r="F19" s="175"/>
      <c r="H19" s="189" t="s">
        <v>241</v>
      </c>
    </row>
    <row r="20" spans="2:18" x14ac:dyDescent="0.65">
      <c r="B20" s="3" t="s">
        <v>212</v>
      </c>
      <c r="C20" s="170"/>
      <c r="D20" s="170"/>
      <c r="E20" s="175"/>
      <c r="F20" s="175"/>
      <c r="H20" s="189" t="s">
        <v>241</v>
      </c>
      <c r="R20" s="6"/>
    </row>
    <row r="21" spans="2:18" x14ac:dyDescent="0.65">
      <c r="B21" s="3" t="s">
        <v>213</v>
      </c>
      <c r="C21" s="171"/>
      <c r="D21" s="172"/>
      <c r="H21" s="191"/>
    </row>
    <row r="22" spans="2:18" x14ac:dyDescent="0.65">
      <c r="B22" s="3" t="s">
        <v>216</v>
      </c>
      <c r="C22" s="173"/>
      <c r="D22" s="173"/>
      <c r="E22" s="175"/>
      <c r="F22" s="175"/>
      <c r="H22" s="189" t="s">
        <v>241</v>
      </c>
    </row>
    <row r="23" spans="2:18" x14ac:dyDescent="0.65">
      <c r="B23" s="3" t="s">
        <v>215</v>
      </c>
      <c r="C23" s="174"/>
      <c r="D23" s="174"/>
      <c r="E23" s="175"/>
      <c r="F23" s="175"/>
      <c r="H23" s="189" t="s">
        <v>241</v>
      </c>
    </row>
    <row r="24" spans="2:18" x14ac:dyDescent="0.65">
      <c r="D24" s="53"/>
    </row>
    <row r="25" spans="2:18" x14ac:dyDescent="0.65">
      <c r="B25" s="11" t="s">
        <v>66</v>
      </c>
      <c r="C25" s="136"/>
      <c r="D25" s="136"/>
    </row>
    <row r="26" spans="2:18" x14ac:dyDescent="0.65">
      <c r="B26" s="1" t="s">
        <v>217</v>
      </c>
      <c r="C26" s="176">
        <v>2500</v>
      </c>
      <c r="D26" s="176"/>
      <c r="G26" s="189"/>
    </row>
    <row r="27" spans="2:18" x14ac:dyDescent="0.65">
      <c r="B27" s="1" t="s">
        <v>218</v>
      </c>
      <c r="C27" s="176">
        <v>2000</v>
      </c>
      <c r="D27" s="176"/>
    </row>
    <row r="28" spans="2:18" x14ac:dyDescent="0.65">
      <c r="B28" s="1" t="s">
        <v>219</v>
      </c>
      <c r="C28" s="165">
        <v>0.7</v>
      </c>
      <c r="D28" s="165"/>
      <c r="G28" s="189" t="s">
        <v>240</v>
      </c>
    </row>
    <row r="29" spans="2:18" x14ac:dyDescent="0.65"/>
    <row r="30" spans="2:18" x14ac:dyDescent="0.65"/>
  </sheetData>
  <mergeCells count="32">
    <mergeCell ref="C28:D28"/>
    <mergeCell ref="C27:D27"/>
    <mergeCell ref="E19:F19"/>
    <mergeCell ref="E20:F20"/>
    <mergeCell ref="C23:D23"/>
    <mergeCell ref="C19:D19"/>
    <mergeCell ref="C22:D22"/>
    <mergeCell ref="E22:F22"/>
    <mergeCell ref="C20:D20"/>
    <mergeCell ref="C21:D21"/>
    <mergeCell ref="E23:F23"/>
    <mergeCell ref="C16:D16"/>
    <mergeCell ref="C15:D15"/>
    <mergeCell ref="E15:F15"/>
    <mergeCell ref="E14:F14"/>
    <mergeCell ref="C26:D26"/>
    <mergeCell ref="C25:D25"/>
    <mergeCell ref="B1:M2"/>
    <mergeCell ref="C5:D5"/>
    <mergeCell ref="C6:D6"/>
    <mergeCell ref="C7:D7"/>
    <mergeCell ref="C9:D9"/>
    <mergeCell ref="E4:F4"/>
    <mergeCell ref="E5:F5"/>
    <mergeCell ref="C8:D8"/>
    <mergeCell ref="E8:F8"/>
    <mergeCell ref="E7:F7"/>
    <mergeCell ref="C12:D12"/>
    <mergeCell ref="E12:F12"/>
    <mergeCell ref="C13:D13"/>
    <mergeCell ref="C14:D14"/>
    <mergeCell ref="E11:F11"/>
  </mergeCells>
  <conditionalFormatting sqref="B6">
    <cfRule type="expression" dxfId="18" priority="8">
      <formula>AND($E$5="PP",$C$5="Plastique")</formula>
    </cfRule>
  </conditionalFormatting>
  <conditionalFormatting sqref="B13">
    <cfRule type="expression" dxfId="17" priority="6">
      <formula>AND($E$12="PP",$C$12="Plastique")</formula>
    </cfRule>
  </conditionalFormatting>
  <conditionalFormatting sqref="C6:D6">
    <cfRule type="expression" dxfId="16" priority="9">
      <formula>AND($E$5="PP",$C$5="Plastique")</formula>
    </cfRule>
  </conditionalFormatting>
  <conditionalFormatting sqref="C13:D13">
    <cfRule type="expression" dxfId="15" priority="5">
      <formula>AND($E$12="PP",$C$12="Plastique")</formula>
    </cfRule>
  </conditionalFormatting>
  <conditionalFormatting sqref="E5:F5">
    <cfRule type="expression" dxfId="13" priority="13">
      <formula>$C$5="Plastique"</formula>
    </cfRule>
  </conditionalFormatting>
  <conditionalFormatting sqref="E7:F7">
    <cfRule type="expression" dxfId="12" priority="4">
      <formula>$C$8="Je connais la donnée"</formula>
    </cfRule>
  </conditionalFormatting>
  <conditionalFormatting sqref="E8:F8">
    <cfRule type="expression" dxfId="11" priority="3">
      <formula>$C$8="Je connais la donnée"</formula>
    </cfRule>
  </conditionalFormatting>
  <conditionalFormatting sqref="E12:F12">
    <cfRule type="expression" dxfId="10" priority="11">
      <formula>$C$12="Plastique"</formula>
    </cfRule>
  </conditionalFormatting>
  <conditionalFormatting sqref="E14:F14">
    <cfRule type="expression" dxfId="9" priority="2">
      <formula>$C$15="Je connais la donnée"</formula>
    </cfRule>
  </conditionalFormatting>
  <conditionalFormatting sqref="E15:F15">
    <cfRule type="expression" dxfId="8" priority="1">
      <formula>$C$15="Je connais la donnée"</formula>
    </cfRule>
  </conditionalFormatting>
  <dataValidations disablePrompts="1" count="7">
    <dataValidation type="list" allowBlank="1" showInputMessage="1" showErrorMessage="1" sqref="C9 C16" xr:uid="{800B7719-D59D-41F1-802C-E9F453571EE1}">
      <formula1>"Ne sais pas (50%),0%,10%,20%,25%,30%,40%,50%,60%,70%,75%,80%,90%,100%"</formula1>
    </dataValidation>
    <dataValidation type="list" allowBlank="1" showInputMessage="1" showErrorMessage="1" sqref="E5:F5" xr:uid="{0C7127F6-A205-429D-8DA8-AF762E59D4A2}">
      <formula1>INDIRECT($C$5)</formula1>
    </dataValidation>
    <dataValidation type="list" allowBlank="1" showInputMessage="1" showErrorMessage="1" sqref="E12:F12" xr:uid="{D914B575-7893-4B69-8280-FE0F68495602}">
      <formula1>INDIRECT($C$12)</formula1>
    </dataValidation>
    <dataValidation type="decimal" allowBlank="1" showInputMessage="1" showErrorMessage="1" sqref="C6:D6 C13:D13 C28:D28" xr:uid="{848F205F-3CDD-49BE-993B-24FB6486A8B4}">
      <formula1>0</formula1>
      <formula2>1</formula2>
    </dataValidation>
    <dataValidation type="decimal" operator="greaterThan" allowBlank="1" showInputMessage="1" showErrorMessage="1" sqref="C21:D21 C7:D7 C19:D19 E19:F20 C22:F23 C26:D27 C14:D14" xr:uid="{3DB73274-5DA0-463A-A54E-3099E0861E8F}">
      <formula1>0</formula1>
    </dataValidation>
    <dataValidation type="whole" operator="greaterThan" allowBlank="1" showInputMessage="1" showErrorMessage="1" sqref="C20:D20" xr:uid="{AAAF9BE3-0469-45A3-80DB-3BD15000302C}">
      <formula1>0</formula1>
    </dataValidation>
    <dataValidation type="list" operator="greaterThan" allowBlank="1" showInputMessage="1" showErrorMessage="1" sqref="C8:D8 C15:D15" xr:uid="{32DB16A5-5FFD-48BF-AE85-ACA62EE6895B}">
      <formula1>"Je connais la donnée,Je ne connais pas la donnée"</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0" id="{02B76CDF-25CA-4E03-90EE-46C94EF1FE93}">
            <xm:f>Mât!$C$8&lt;&gt;0</xm:f>
            <x14:dxf>
              <font>
                <color auto="1"/>
              </font>
            </x14:dxf>
          </x14:cfRule>
          <xm:sqref>C23:D23</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B0C84CE3-9B0E-40AD-8FE6-3DA451271137}">
          <x14:formula1>
            <xm:f>Listes!$E$5:$E$6</xm:f>
          </x14:formula1>
          <xm:sqref>C5:D5</xm:sqref>
        </x14:dataValidation>
        <x14:dataValidation type="list" allowBlank="1" showInputMessage="1" showErrorMessage="1" xr:uid="{4DFE2218-0730-478B-9CBB-D0A6EBE22735}">
          <x14:formula1>
            <xm:f>Listes!$G$5:$G$10</xm:f>
          </x14:formula1>
          <xm:sqref>C12:D12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48B2D-5203-48F3-8BD1-5AF26CDB3A9E}">
  <sheetPr>
    <tabColor theme="8" tint="-0.749992370372631"/>
  </sheetPr>
  <dimension ref="A1:P27"/>
  <sheetViews>
    <sheetView zoomScaleNormal="100" workbookViewId="0">
      <selection activeCell="C5" sqref="C5:D7"/>
    </sheetView>
  </sheetViews>
  <sheetFormatPr baseColWidth="10" defaultColWidth="0" defaultRowHeight="19.8" zeroHeight="1" x14ac:dyDescent="0.65"/>
  <cols>
    <col min="1" max="1" width="8.796875" style="1" customWidth="1"/>
    <col min="2" max="2" width="36.796875" style="1" customWidth="1"/>
    <col min="3" max="4" width="21.69921875" style="1" customWidth="1"/>
    <col min="5" max="13" width="8.09765625" style="1" customWidth="1"/>
    <col min="14" max="14" width="11.19921875" style="1" customWidth="1"/>
    <col min="15" max="16" width="0" style="1" hidden="1" customWidth="1"/>
    <col min="17" max="16384" width="11.19921875" style="1" hidden="1"/>
  </cols>
  <sheetData>
    <row r="1" spans="2:16" x14ac:dyDescent="0.65">
      <c r="B1" s="143" t="s">
        <v>34</v>
      </c>
      <c r="C1" s="144"/>
      <c r="D1" s="144"/>
      <c r="E1" s="144"/>
      <c r="F1" s="144"/>
      <c r="G1" s="144"/>
      <c r="H1" s="144"/>
      <c r="I1" s="144"/>
      <c r="J1" s="144"/>
      <c r="K1" s="144"/>
      <c r="L1" s="144"/>
      <c r="M1" s="145"/>
    </row>
    <row r="2" spans="2:16" ht="20.399999999999999" thickBot="1" x14ac:dyDescent="0.7">
      <c r="B2" s="146"/>
      <c r="C2" s="147"/>
      <c r="D2" s="147"/>
      <c r="E2" s="147"/>
      <c r="F2" s="147"/>
      <c r="G2" s="147"/>
      <c r="H2" s="147"/>
      <c r="I2" s="147"/>
      <c r="J2" s="147"/>
      <c r="K2" s="147"/>
      <c r="L2" s="147"/>
      <c r="M2" s="148"/>
    </row>
    <row r="3" spans="2:16" x14ac:dyDescent="0.65"/>
    <row r="4" spans="2:16" x14ac:dyDescent="0.65">
      <c r="B4" s="4" t="s">
        <v>35</v>
      </c>
      <c r="E4" s="149" t="s">
        <v>147</v>
      </c>
      <c r="F4" s="149"/>
      <c r="G4" s="149"/>
    </row>
    <row r="5" spans="2:16" x14ac:dyDescent="0.65">
      <c r="B5" s="3" t="s">
        <v>37</v>
      </c>
      <c r="C5" s="182"/>
      <c r="D5" s="182"/>
      <c r="E5" s="186"/>
      <c r="F5" s="186"/>
      <c r="G5" s="186"/>
    </row>
    <row r="6" spans="2:16" x14ac:dyDescent="0.65">
      <c r="B6" s="3" t="s">
        <v>221</v>
      </c>
      <c r="C6" s="169"/>
      <c r="D6" s="169"/>
    </row>
    <row r="7" spans="2:16" x14ac:dyDescent="0.65">
      <c r="B7" s="3" t="s">
        <v>225</v>
      </c>
      <c r="C7" s="175"/>
      <c r="D7" s="175"/>
      <c r="F7" s="189" t="s">
        <v>241</v>
      </c>
    </row>
    <row r="8" spans="2:16" x14ac:dyDescent="0.65"/>
    <row r="9" spans="2:16" x14ac:dyDescent="0.65">
      <c r="B9" s="4" t="s">
        <v>36</v>
      </c>
      <c r="E9" s="149" t="s">
        <v>147</v>
      </c>
      <c r="F9" s="149"/>
      <c r="G9" s="149"/>
    </row>
    <row r="10" spans="2:16" x14ac:dyDescent="0.65">
      <c r="B10" s="3" t="s">
        <v>37</v>
      </c>
      <c r="C10" s="183"/>
      <c r="D10" s="183"/>
      <c r="E10" s="186"/>
      <c r="F10" s="186"/>
      <c r="G10" s="186"/>
    </row>
    <row r="11" spans="2:16" x14ac:dyDescent="0.65">
      <c r="B11" s="3" t="s">
        <v>226</v>
      </c>
      <c r="C11" s="185"/>
      <c r="D11" s="185"/>
      <c r="I11" s="5"/>
      <c r="P11" s="6"/>
    </row>
    <row r="12" spans="2:16" x14ac:dyDescent="0.65">
      <c r="B12" s="3" t="s">
        <v>225</v>
      </c>
      <c r="C12" s="175"/>
      <c r="D12" s="175"/>
      <c r="F12" s="189" t="s">
        <v>241</v>
      </c>
      <c r="P12" s="6"/>
    </row>
    <row r="13" spans="2:16" x14ac:dyDescent="0.65"/>
    <row r="14" spans="2:16" x14ac:dyDescent="0.65">
      <c r="B14" s="4" t="s">
        <v>242</v>
      </c>
    </row>
    <row r="15" spans="2:16" ht="40.200000000000003" customHeight="1" x14ac:dyDescent="0.65">
      <c r="B15" s="9" t="s">
        <v>37</v>
      </c>
      <c r="C15" s="184"/>
      <c r="D15" s="184"/>
    </row>
    <row r="16" spans="2:16" x14ac:dyDescent="0.65">
      <c r="B16" s="9" t="s">
        <v>22</v>
      </c>
      <c r="C16" s="187"/>
      <c r="D16" s="188"/>
      <c r="E16" s="50"/>
      <c r="F16" s="189" t="str">
        <f>IF(C15="Autre contrôleur de charge","Si le contrôleur de charge est différent d'un modèle 30A, alors renseigner sa masse.","")</f>
        <v/>
      </c>
    </row>
    <row r="17" spans="2:6" x14ac:dyDescent="0.65">
      <c r="B17" s="3" t="s">
        <v>225</v>
      </c>
      <c r="C17" s="175"/>
      <c r="D17" s="175"/>
      <c r="F17" s="189" t="s">
        <v>241</v>
      </c>
    </row>
    <row r="18" spans="2:6" x14ac:dyDescent="0.65"/>
    <row r="19" spans="2:6" x14ac:dyDescent="0.65"/>
    <row r="20" spans="2:6" x14ac:dyDescent="0.65"/>
    <row r="21" spans="2:6" x14ac:dyDescent="0.65"/>
    <row r="22" spans="2:6" x14ac:dyDescent="0.65"/>
    <row r="23" spans="2:6" x14ac:dyDescent="0.65"/>
    <row r="24" spans="2:6" x14ac:dyDescent="0.65"/>
    <row r="25" spans="2:6" x14ac:dyDescent="0.65"/>
    <row r="26" spans="2:6" x14ac:dyDescent="0.65"/>
    <row r="27" spans="2:6" x14ac:dyDescent="0.65"/>
  </sheetData>
  <mergeCells count="14">
    <mergeCell ref="C17:D17"/>
    <mergeCell ref="C16:D16"/>
    <mergeCell ref="B1:M2"/>
    <mergeCell ref="C5:D5"/>
    <mergeCell ref="C6:D6"/>
    <mergeCell ref="C15:D15"/>
    <mergeCell ref="C12:D12"/>
    <mergeCell ref="C7:D7"/>
    <mergeCell ref="C10:D10"/>
    <mergeCell ref="C11:D11"/>
    <mergeCell ref="E5:G5"/>
    <mergeCell ref="E4:G4"/>
    <mergeCell ref="E9:G9"/>
    <mergeCell ref="E10:G10"/>
  </mergeCells>
  <conditionalFormatting sqref="B16">
    <cfRule type="expression" dxfId="7" priority="1">
      <formula>$C$15&lt;&gt;"Autre contrôleur de charge"</formula>
    </cfRule>
  </conditionalFormatting>
  <conditionalFormatting sqref="C16:D16">
    <cfRule type="expression" dxfId="6" priority="2">
      <formula>$C$15&lt;&gt;"Autre contrôleur de charge"</formula>
    </cfRule>
  </conditionalFormatting>
  <conditionalFormatting sqref="E16">
    <cfRule type="expression" dxfId="4" priority="10">
      <formula>$C$15="Autres"</formula>
    </cfRule>
  </conditionalFormatting>
  <conditionalFormatting sqref="E4:G4">
    <cfRule type="expression" dxfId="3" priority="8">
      <formula>$C$5&lt;&gt;"Saisir l'impact carbone de la fabrication"</formula>
    </cfRule>
  </conditionalFormatting>
  <conditionalFormatting sqref="E5:G5">
    <cfRule type="expression" dxfId="2" priority="7">
      <formula>$C$5&lt;&gt;"Saisir l'impact carbone de la fabrication"</formula>
    </cfRule>
  </conditionalFormatting>
  <conditionalFormatting sqref="E9:G9">
    <cfRule type="expression" dxfId="1" priority="4">
      <formula>$C$10&lt;&gt;"Saisir l'impact carbone de la fabrication"</formula>
    </cfRule>
  </conditionalFormatting>
  <conditionalFormatting sqref="E10:G10">
    <cfRule type="expression" dxfId="0" priority="3">
      <formula>$C$10&lt;&gt;"Saisir l'impact carbone de la fabrication"</formula>
    </cfRule>
  </conditionalFormatting>
  <dataValidations count="1">
    <dataValidation type="decimal" operator="greaterThan" allowBlank="1" showInputMessage="1" showErrorMessage="1" sqref="C6:D7 C11:D12 C17:D17" xr:uid="{74CAE421-5ECF-4FF5-AE5C-AF9C001A8B42}">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7BD3CB10-A9A5-461C-82D4-228B984D4088}">
          <x14:formula1>
            <xm:f>Listes!$J$5:$J$6</xm:f>
          </x14:formula1>
          <xm:sqref>C15:D15</xm:sqref>
        </x14:dataValidation>
        <x14:dataValidation type="list" allowBlank="1" showInputMessage="1" showErrorMessage="1" xr:uid="{90C29E19-CAC3-434A-8F90-FA0055AA825B}">
          <x14:formula1>
            <xm:f>Listes!$I$5:$I$15</xm:f>
          </x14:formula1>
          <xm:sqref>C10:D10</xm:sqref>
        </x14:dataValidation>
        <x14:dataValidation type="list" allowBlank="1" showInputMessage="1" showErrorMessage="1" xr:uid="{5AC477B8-B96B-4DEB-A362-B422EF183760}">
          <x14:formula1>
            <xm:f>Listes!$H$5:$H$12</xm:f>
          </x14:formula1>
          <xm:sqref>C5:D5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2C3F-DBAD-4034-B357-7817857E4B47}">
  <sheetPr>
    <tabColor theme="5"/>
  </sheetPr>
  <dimension ref="B2:O60"/>
  <sheetViews>
    <sheetView zoomScaleNormal="100" workbookViewId="0">
      <selection activeCell="D14" sqref="D14"/>
    </sheetView>
  </sheetViews>
  <sheetFormatPr baseColWidth="10" defaultRowHeight="19.8" x14ac:dyDescent="0.65"/>
  <cols>
    <col min="1" max="1" width="11.19921875" style="1"/>
    <col min="2" max="2" width="22.3984375" style="1" bestFit="1" customWidth="1"/>
    <col min="3" max="3" width="15.296875" style="1" customWidth="1"/>
    <col min="4" max="12" width="11.19921875" style="1"/>
    <col min="13" max="13" width="24.5" style="1" bestFit="1" customWidth="1"/>
    <col min="14" max="15" width="15.296875" style="1" customWidth="1"/>
    <col min="16" max="16384" width="11.19921875" style="1"/>
  </cols>
  <sheetData>
    <row r="2" spans="2:4" s="16" customFormat="1" ht="25.8" x14ac:dyDescent="0.85">
      <c r="B2" s="17" t="s">
        <v>77</v>
      </c>
    </row>
    <row r="4" spans="2:4" s="76" customFormat="1" ht="22.8" x14ac:dyDescent="0.75">
      <c r="B4" s="75" t="s">
        <v>182</v>
      </c>
    </row>
    <row r="6" spans="2:4" ht="42" customHeight="1" x14ac:dyDescent="0.65">
      <c r="C6" s="73" t="s">
        <v>180</v>
      </c>
      <c r="D6" s="73" t="s">
        <v>181</v>
      </c>
    </row>
    <row r="7" spans="2:4" x14ac:dyDescent="0.65">
      <c r="B7" s="70" t="s">
        <v>87</v>
      </c>
      <c r="C7" s="110">
        <f>SUMIFS(Calculs!$N$6:$N$47,Calculs!$B$6:$B$47,Résultats!$B7)/1000</f>
        <v>0</v>
      </c>
      <c r="D7" s="72">
        <f>IFERROR(C7/$C$9,0)</f>
        <v>0</v>
      </c>
    </row>
    <row r="8" spans="2:4" x14ac:dyDescent="0.65">
      <c r="B8" s="71" t="s">
        <v>169</v>
      </c>
      <c r="C8" s="81">
        <f>SUMIFS(Calculs!$N$6:$N$47,Calculs!$B$6:$B$47,Résultats!$B8)/1000</f>
        <v>0</v>
      </c>
      <c r="D8" s="72">
        <f>IFERROR(C8/$C$9,0)</f>
        <v>0</v>
      </c>
    </row>
    <row r="9" spans="2:4" x14ac:dyDescent="0.65">
      <c r="B9" s="2" t="s">
        <v>179</v>
      </c>
      <c r="C9" s="82">
        <f>SUM(C7:C8)</f>
        <v>0</v>
      </c>
    </row>
    <row r="16" spans="2:4" s="76" customFormat="1" ht="22.8" x14ac:dyDescent="0.75">
      <c r="B16" s="75" t="s">
        <v>183</v>
      </c>
    </row>
    <row r="18" spans="2:15" s="77" customFormat="1" x14ac:dyDescent="0.65">
      <c r="B18" s="68" t="s">
        <v>184</v>
      </c>
    </row>
    <row r="20" spans="2:15" s="49" customFormat="1" ht="39.6" customHeight="1" x14ac:dyDescent="0.65">
      <c r="B20" s="69" t="s">
        <v>87</v>
      </c>
      <c r="C20" s="73" t="s">
        <v>185</v>
      </c>
      <c r="D20" s="73" t="s">
        <v>181</v>
      </c>
      <c r="M20" s="69" t="s">
        <v>0</v>
      </c>
      <c r="N20" s="73" t="s">
        <v>185</v>
      </c>
      <c r="O20" s="73" t="s">
        <v>181</v>
      </c>
    </row>
    <row r="21" spans="2:15" x14ac:dyDescent="0.65">
      <c r="B21" s="70" t="s">
        <v>0</v>
      </c>
      <c r="C21" s="89">
        <f>SUMIFS(Calculs!$N$6:$N$47,Calculs!$B$6:$B$47,Résultats!$B$18,Calculs!$C$6:$C$47,Résultats!$B21)/1000</f>
        <v>0</v>
      </c>
      <c r="D21" s="72">
        <f>IFERROR(C21/$C$24,0)</f>
        <v>0</v>
      </c>
      <c r="M21" s="86" t="s">
        <v>0</v>
      </c>
      <c r="N21" s="89">
        <f>SUMIFS(Calculs!$N$6:$N$47,Calculs!$B$6:$B$47,Résultats!$B$18,Calculs!$C$6:$C$47,Résultats!$M$20,Calculs!$D$6:$D$47,Résultats!$M21)/1000</f>
        <v>0</v>
      </c>
      <c r="O21" s="72">
        <f>IFERROR(N21/$N$24,0)</f>
        <v>0</v>
      </c>
    </row>
    <row r="22" spans="2:15" x14ac:dyDescent="0.65">
      <c r="B22" s="78" t="s">
        <v>13</v>
      </c>
      <c r="C22" s="89">
        <f>SUMIFS(Calculs!$N$6:$N$47,Calculs!$B$6:$B$47,Résultats!$B$18,Calculs!$C$6:$C$47,Résultats!$B22)/1000</f>
        <v>0</v>
      </c>
      <c r="D22" s="72">
        <f t="shared" ref="D22:D23" si="0">IFERROR(C22/$C$24,0)</f>
        <v>0</v>
      </c>
      <c r="M22" s="85" t="s">
        <v>101</v>
      </c>
      <c r="N22" s="89">
        <f>SUMIFS(Calculs!$N$6:$N$47,Calculs!$B$6:$B$47,Résultats!$B$18,Calculs!$C$6:$C$47,Résultats!$M$20,Calculs!$D$6:$D$47,Résultats!$M22)/1000</f>
        <v>0</v>
      </c>
      <c r="O22" s="72">
        <f t="shared" ref="O22:O23" si="1">IFERROR(N22/$N$24,0)</f>
        <v>0</v>
      </c>
    </row>
    <row r="23" spans="2:15" x14ac:dyDescent="0.65">
      <c r="B23" s="79" t="s">
        <v>14</v>
      </c>
      <c r="C23" s="89">
        <f>SUMIFS(Calculs!$N$6:$N$47,Calculs!$B$6:$B$47,Résultats!$B$18,Calculs!$C$6:$C$47,Résultats!$B23)/1000</f>
        <v>0</v>
      </c>
      <c r="D23" s="72">
        <f t="shared" si="0"/>
        <v>0</v>
      </c>
      <c r="M23" s="70" t="s">
        <v>102</v>
      </c>
      <c r="N23" s="89">
        <f>SUMIFS(Calculs!$N$6:$N$47,Calculs!$B$6:$B$47,Résultats!$B$18,Calculs!$C$6:$C$47,Résultats!$M$20,Calculs!$D$6:$D$47,Résultats!$M23)/1000</f>
        <v>0</v>
      </c>
      <c r="O23" s="72">
        <f t="shared" si="1"/>
        <v>0</v>
      </c>
    </row>
    <row r="24" spans="2:15" x14ac:dyDescent="0.65">
      <c r="B24" s="2" t="s">
        <v>179</v>
      </c>
      <c r="C24" s="116">
        <f>SUM(C21:C23)</f>
        <v>0</v>
      </c>
      <c r="M24" s="2" t="s">
        <v>179</v>
      </c>
      <c r="N24" s="116">
        <f>SUM(N21:N23)</f>
        <v>0</v>
      </c>
    </row>
    <row r="30" spans="2:15" ht="39.6" x14ac:dyDescent="0.65">
      <c r="M30" s="69" t="s">
        <v>13</v>
      </c>
      <c r="N30" s="73" t="s">
        <v>185</v>
      </c>
      <c r="O30" s="73" t="s">
        <v>181</v>
      </c>
    </row>
    <row r="31" spans="2:15" x14ac:dyDescent="0.65">
      <c r="M31" s="87" t="s">
        <v>103</v>
      </c>
      <c r="N31" s="111">
        <f>SUMIFS(Calculs!$N$6:$N$47,Calculs!$B$6:$B$47,Résultats!$B$18,Calculs!$C$6:$C$47,Résultats!$M$30,Calculs!$D$6:$D$47,Résultats!$M31)/1000</f>
        <v>0</v>
      </c>
      <c r="O31" s="72">
        <f>IFERROR(N31/$N$34,0)</f>
        <v>0</v>
      </c>
    </row>
    <row r="32" spans="2:15" x14ac:dyDescent="0.65">
      <c r="M32" s="78" t="s">
        <v>104</v>
      </c>
      <c r="N32" s="111">
        <f>SUMIFS(Calculs!$N$6:$N$47,Calculs!$B$6:$B$47,Résultats!$B$18,Calculs!$C$6:$C$47,Résultats!$M$30,Calculs!$D$6:$D$47,Résultats!$M32)/1000</f>
        <v>0</v>
      </c>
      <c r="O32" s="72">
        <f t="shared" ref="O32:O33" si="2">IFERROR(N32/$N$34,0)</f>
        <v>0</v>
      </c>
    </row>
    <row r="33" spans="13:15" x14ac:dyDescent="0.65">
      <c r="M33" s="88" t="s">
        <v>105</v>
      </c>
      <c r="N33" s="111">
        <f>SUMIFS(Calculs!$N$6:$N$47,Calculs!$B$6:$B$47,Résultats!$B$18,Calculs!$C$6:$C$47,Résultats!$M$30,Calculs!$D$6:$D$47,Résultats!$M33)/1000</f>
        <v>0</v>
      </c>
      <c r="O33" s="72">
        <f t="shared" si="2"/>
        <v>0</v>
      </c>
    </row>
    <row r="34" spans="13:15" x14ac:dyDescent="0.65">
      <c r="M34" s="2" t="s">
        <v>179</v>
      </c>
      <c r="N34" s="116">
        <f>SUM(N31:N33)</f>
        <v>0</v>
      </c>
    </row>
    <row r="40" spans="13:15" ht="39.6" x14ac:dyDescent="0.65">
      <c r="M40" s="69" t="s">
        <v>14</v>
      </c>
      <c r="N40" s="73" t="s">
        <v>185</v>
      </c>
      <c r="O40" s="73" t="s">
        <v>181</v>
      </c>
    </row>
    <row r="41" spans="13:15" x14ac:dyDescent="0.65">
      <c r="M41" s="79" t="s">
        <v>3</v>
      </c>
      <c r="N41" s="89">
        <f>SUMIFS(Calculs!$N$6:$N$47,Calculs!$B$6:$B$47,Résultats!$B$18,Calculs!$C$6:$C$47,Résultats!$M$40,Calculs!$D$6:$D$47,Résultats!$M41)/1000</f>
        <v>0</v>
      </c>
      <c r="O41" s="72">
        <f>IFERROR(N41/$N$44,0)</f>
        <v>0</v>
      </c>
    </row>
    <row r="42" spans="13:15" x14ac:dyDescent="0.65">
      <c r="M42" s="90" t="s">
        <v>106</v>
      </c>
      <c r="N42" s="89">
        <f>SUMIFS(Calculs!$N$6:$N$47,Calculs!$B$6:$B$47,Résultats!$B$18,Calculs!$C$6:$C$47,Résultats!$M$40,Calculs!$D$6:$D$47,Résultats!$M42)/1000</f>
        <v>0</v>
      </c>
      <c r="O42" s="72">
        <f t="shared" ref="O42:O43" si="3">IFERROR(N42/$N$44,0)</f>
        <v>0</v>
      </c>
    </row>
    <row r="43" spans="13:15" x14ac:dyDescent="0.65">
      <c r="M43" s="91" t="s">
        <v>6</v>
      </c>
      <c r="N43" s="89">
        <f>SUMIFS(Calculs!$N$6:$N$47,Calculs!$B$6:$B$47,Résultats!$B$18,Calculs!$C$6:$C$47,Résultats!$M$40,Calculs!$D$6:$D$47,Résultats!$M43)/1000</f>
        <v>0</v>
      </c>
      <c r="O43" s="72">
        <f t="shared" si="3"/>
        <v>0</v>
      </c>
    </row>
    <row r="44" spans="13:15" x14ac:dyDescent="0.65">
      <c r="M44" s="2" t="s">
        <v>179</v>
      </c>
      <c r="N44" s="116">
        <f>SUM(N41:N43)</f>
        <v>0</v>
      </c>
    </row>
    <row r="51" spans="2:15" s="74" customFormat="1" x14ac:dyDescent="0.65">
      <c r="B51" s="92" t="s">
        <v>186</v>
      </c>
    </row>
    <row r="53" spans="2:15" ht="59.4" x14ac:dyDescent="0.65">
      <c r="B53" s="69" t="s">
        <v>170</v>
      </c>
      <c r="C53" s="73" t="s">
        <v>185</v>
      </c>
      <c r="D53" s="73" t="s">
        <v>181</v>
      </c>
      <c r="M53" s="69"/>
      <c r="N53" s="73" t="s">
        <v>189</v>
      </c>
      <c r="O53" s="73" t="s">
        <v>185</v>
      </c>
    </row>
    <row r="54" spans="2:15" x14ac:dyDescent="0.65">
      <c r="B54" s="71" t="s">
        <v>187</v>
      </c>
      <c r="C54" s="89">
        <f>Calculs!N46/1000</f>
        <v>0</v>
      </c>
      <c r="D54" s="72">
        <f>IFERROR(C54/$C$56,0)</f>
        <v>0</v>
      </c>
      <c r="M54" s="71" t="s">
        <v>187</v>
      </c>
      <c r="N54" s="84">
        <f>Luminaire!C26*'Lisez-moi'!$C$9</f>
        <v>75000</v>
      </c>
      <c r="O54" s="94">
        <f>C54</f>
        <v>0</v>
      </c>
    </row>
    <row r="55" spans="2:15" x14ac:dyDescent="0.65">
      <c r="B55" s="93" t="s">
        <v>188</v>
      </c>
      <c r="C55" s="89">
        <f>Calculs!N47/1000</f>
        <v>0</v>
      </c>
      <c r="D55" s="72">
        <f>IFERROR(C55/$C$56,0)</f>
        <v>0</v>
      </c>
      <c r="M55" s="93" t="s">
        <v>188</v>
      </c>
      <c r="N55" s="84">
        <f>Luminaire!C27*'Lisez-moi'!$C$9</f>
        <v>60000</v>
      </c>
      <c r="O55" s="94">
        <f>C55</f>
        <v>0</v>
      </c>
    </row>
    <row r="56" spans="2:15" x14ac:dyDescent="0.65">
      <c r="B56" s="2" t="s">
        <v>179</v>
      </c>
      <c r="C56" s="116">
        <f>SUM(C54:C55)</f>
        <v>0</v>
      </c>
      <c r="M56" s="2" t="s">
        <v>179</v>
      </c>
      <c r="N56" s="83">
        <f>SUM(N54:N55)</f>
        <v>135000</v>
      </c>
      <c r="O56" s="83">
        <f>SUM(O54:O55)</f>
        <v>0</v>
      </c>
    </row>
    <row r="58" spans="2:15" ht="59.4" x14ac:dyDescent="0.65">
      <c r="M58" s="69"/>
      <c r="N58" s="73" t="s">
        <v>189</v>
      </c>
      <c r="O58" s="73" t="s">
        <v>185</v>
      </c>
    </row>
    <row r="59" spans="2:15" x14ac:dyDescent="0.65">
      <c r="M59" s="71" t="s">
        <v>187</v>
      </c>
      <c r="N59" s="95">
        <f>IFERROR(N54/N$56,0)</f>
        <v>0.55555555555555558</v>
      </c>
      <c r="O59" s="96">
        <f>IFERROR(O54/O$56,0)</f>
        <v>0</v>
      </c>
    </row>
    <row r="60" spans="2:15" x14ac:dyDescent="0.65">
      <c r="M60" s="93" t="s">
        <v>188</v>
      </c>
      <c r="N60" s="95">
        <f>IFERROR(N55/N$56,0)</f>
        <v>0.44444444444444442</v>
      </c>
      <c r="O60" s="96">
        <f>IFERROR(O55/O$56,0)</f>
        <v>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AC8C4-B7FC-47CE-9D1C-AA8091D9B331}">
  <sheetPr>
    <tabColor theme="2" tint="0.249977111117893"/>
  </sheetPr>
  <dimension ref="B2:N47"/>
  <sheetViews>
    <sheetView zoomScale="80" zoomScaleNormal="80" workbookViewId="0">
      <selection activeCell="F21" sqref="F21"/>
    </sheetView>
  </sheetViews>
  <sheetFormatPr baseColWidth="10" defaultRowHeight="19.8" x14ac:dyDescent="0.65"/>
  <cols>
    <col min="1" max="1" width="11.19921875" style="1"/>
    <col min="2" max="2" width="11.19921875" style="1" customWidth="1"/>
    <col min="3" max="3" width="13.09765625" style="1" bestFit="1" customWidth="1"/>
    <col min="4" max="4" width="20.19921875" style="1" bestFit="1" customWidth="1"/>
    <col min="5" max="5" width="46.59765625" style="1" bestFit="1" customWidth="1"/>
    <col min="6" max="6" width="11.19921875" style="1"/>
    <col min="7" max="7" width="14" style="1" bestFit="1" customWidth="1"/>
    <col min="8" max="9" width="11.19921875" style="1"/>
    <col min="10" max="10" width="94.09765625" style="1" bestFit="1" customWidth="1"/>
    <col min="11" max="11" width="5.69921875" style="1" bestFit="1" customWidth="1"/>
    <col min="12" max="12" width="12" style="1" bestFit="1" customWidth="1"/>
    <col min="13" max="16384" width="11.19921875" style="1"/>
  </cols>
  <sheetData>
    <row r="2" spans="2:14" s="16" customFormat="1" ht="25.8" x14ac:dyDescent="0.85">
      <c r="B2" s="17" t="s">
        <v>78</v>
      </c>
    </row>
    <row r="3" spans="2:14" ht="20.399999999999999" thickBot="1" x14ac:dyDescent="0.7"/>
    <row r="4" spans="2:14" x14ac:dyDescent="0.65">
      <c r="B4" s="152" t="s">
        <v>90</v>
      </c>
      <c r="C4" s="153"/>
      <c r="D4" s="153"/>
      <c r="E4" s="154" t="s">
        <v>88</v>
      </c>
      <c r="F4" s="154"/>
      <c r="G4" s="154"/>
      <c r="H4" s="154"/>
      <c r="I4" s="154"/>
      <c r="J4" s="150" t="s">
        <v>89</v>
      </c>
      <c r="K4" s="150"/>
      <c r="L4" s="151"/>
      <c r="N4" s="113" t="s">
        <v>91</v>
      </c>
    </row>
    <row r="5" spans="2:14" x14ac:dyDescent="0.65">
      <c r="B5" s="32" t="s">
        <v>85</v>
      </c>
      <c r="C5" s="27" t="s">
        <v>86</v>
      </c>
      <c r="D5" s="27" t="s">
        <v>70</v>
      </c>
      <c r="E5" s="27" t="s">
        <v>70</v>
      </c>
      <c r="F5" s="27" t="s">
        <v>120</v>
      </c>
      <c r="G5" s="27" t="s">
        <v>92</v>
      </c>
      <c r="H5" s="27" t="s">
        <v>71</v>
      </c>
      <c r="I5" s="27" t="s">
        <v>98</v>
      </c>
      <c r="J5" s="27" t="s">
        <v>70</v>
      </c>
      <c r="K5" s="27" t="s">
        <v>71</v>
      </c>
      <c r="L5" s="33" t="s">
        <v>72</v>
      </c>
      <c r="N5" s="29" t="s">
        <v>100</v>
      </c>
    </row>
    <row r="6" spans="2:14" x14ac:dyDescent="0.65">
      <c r="B6" s="32" t="s">
        <v>87</v>
      </c>
      <c r="C6" s="28" t="s">
        <v>0</v>
      </c>
      <c r="D6" s="28" t="s">
        <v>0</v>
      </c>
      <c r="E6" s="25" t="str">
        <f>IF(ISBLANK(Mât!$C$5),"/",Mât!$C$5)</f>
        <v>/</v>
      </c>
      <c r="F6" s="25" t="s">
        <v>99</v>
      </c>
      <c r="G6" s="25" t="str">
        <f>IF(E6="/","/","neuf")</f>
        <v>/</v>
      </c>
      <c r="H6" s="25" t="str">
        <f>IF(E6="/","/",Mât!$C$7)</f>
        <v>/</v>
      </c>
      <c r="I6" s="26" t="str">
        <f>IF(E6="Bois",100%,IF(E6="/","/",1-Mât!$C$6))</f>
        <v>/</v>
      </c>
      <c r="J6" s="25" t="str" cm="1">
        <f t="array" ref="J6">IFERROR(INDEX('FE et Ratios'!$I$31:$I$89,MATCH(1,1*('FE et Ratios'!$B$31:$B$89=Calculs!$E6)*('FE et Ratios'!$C$31:$C$89=Calculs!$F6)*('FE et Ratios'!$D$31:$D$89=Calculs!$G6),0)),"/")</f>
        <v>/</v>
      </c>
      <c r="K6" s="25" t="str">
        <f>IFERROR(INDEX('FE et Ratios'!$E$31:$E$89,MATCH(Calculs!$J6,'FE et Ratios'!$I$31:$I$89,0)),"/")</f>
        <v>/</v>
      </c>
      <c r="L6" s="34" t="str">
        <f>IFERROR(INDEX('FE et Ratios'!$F$31:$F$89,MATCH(Calculs!$J6,'FE et Ratios'!$I$31:$I$89,0)),"/")</f>
        <v>/</v>
      </c>
      <c r="N6" s="30">
        <f>IFERROR($K6*$H6*$I6,0)</f>
        <v>0</v>
      </c>
    </row>
    <row r="7" spans="2:14" x14ac:dyDescent="0.65">
      <c r="B7" s="32" t="s">
        <v>87</v>
      </c>
      <c r="C7" s="28" t="s">
        <v>0</v>
      </c>
      <c r="D7" s="28" t="s">
        <v>0</v>
      </c>
      <c r="E7" s="25" t="str">
        <f>IF(OR(E6="Bois",E6="/"),"/",Mât!$C$5)</f>
        <v>/</v>
      </c>
      <c r="F7" s="25" t="s">
        <v>99</v>
      </c>
      <c r="G7" s="25" t="str">
        <f>IF(E7="/","/","recyclé")</f>
        <v>/</v>
      </c>
      <c r="H7" s="25" t="str">
        <f>IF(E7="/","/",Mât!$C$7)</f>
        <v>/</v>
      </c>
      <c r="I7" s="26" t="str">
        <f>IF(E7="/","/",Mât!$C$6)</f>
        <v>/</v>
      </c>
      <c r="J7" s="25" t="str" cm="1">
        <f t="array" ref="J7">IFERROR(INDEX('FE et Ratios'!$I$31:$I$89,MATCH(1,1*('FE et Ratios'!$B$31:$B$89=Calculs!$E7)*('FE et Ratios'!$C$31:$C$89=Calculs!$F7)*('FE et Ratios'!$D$31:$D$89=Calculs!$G7),0)),"/")</f>
        <v>/</v>
      </c>
      <c r="K7" s="25" t="str">
        <f>IFERROR(INDEX('FE et Ratios'!$E$31:$E$89,MATCH(Calculs!$J7,'FE et Ratios'!$I$31:$I$89,0)),"/")</f>
        <v>/</v>
      </c>
      <c r="L7" s="34" t="str">
        <f>IFERROR(INDEX('FE et Ratios'!$F$31:$F$89,MATCH(Calculs!$J7,'FE et Ratios'!$I$31:$I$89,0)),"/")</f>
        <v>/</v>
      </c>
      <c r="N7" s="30">
        <f>IFERROR($K7*$H7*$I7,0)</f>
        <v>0</v>
      </c>
    </row>
    <row r="8" spans="2:14" x14ac:dyDescent="0.65">
      <c r="B8" s="32" t="s">
        <v>87</v>
      </c>
      <c r="C8" s="28" t="s">
        <v>0</v>
      </c>
      <c r="D8" s="28" t="s">
        <v>0</v>
      </c>
      <c r="E8" s="26" t="s">
        <v>204</v>
      </c>
      <c r="F8" s="25" t="s">
        <v>99</v>
      </c>
      <c r="G8" s="26" t="s">
        <v>99</v>
      </c>
      <c r="H8" s="25" t="str">
        <f>IF(E6="/","/",IF(OR(ISBLANK(Mât!$C$9),Mât!$C$9="Je ne connais pas la donnée"),H6*'FE et Ratios'!$C$24,Mât!$E$9))</f>
        <v>/</v>
      </c>
      <c r="I8" s="26" t="s">
        <v>99</v>
      </c>
      <c r="J8" s="25" t="str" cm="1">
        <f t="array" ref="J8">IFERROR(INDEX('FE et Ratios'!$I$31:$I$89,MATCH(1,1*('FE et Ratios'!$B$31:$B$89=Calculs!$E8)*('FE et Ratios'!$C$31:$C$89=Calculs!$F8)*('FE et Ratios'!$D$31:$D$89=Calculs!$G8),0)),"/")</f>
        <v>Electricité, 2022 - mix moyen, consommation, France continentale, Base Carbone v23.2</v>
      </c>
      <c r="K8" s="25">
        <f>IFERROR(INDEX('FE et Ratios'!$E$31:$E$89,MATCH(Calculs!$J8,'FE et Ratios'!$I$31:$I$89,0)),"/")</f>
        <v>5.2040000000000003E-2</v>
      </c>
      <c r="L8" s="34" t="str">
        <f>IFERROR(INDEX('FE et Ratios'!$F$31:$F$89,MATCH(Calculs!$J8,'FE et Ratios'!$I$31:$I$89,0)),"/")</f>
        <v>kgCO2e/kWh</v>
      </c>
      <c r="N8" s="30">
        <f>IFERROR($K8*$H8,0)</f>
        <v>0</v>
      </c>
    </row>
    <row r="9" spans="2:14" ht="20.399999999999999" thickBot="1" x14ac:dyDescent="0.7">
      <c r="B9" s="35" t="s">
        <v>87</v>
      </c>
      <c r="C9" s="36" t="s">
        <v>0</v>
      </c>
      <c r="D9" s="36" t="s">
        <v>0</v>
      </c>
      <c r="E9" s="37" t="s">
        <v>99</v>
      </c>
      <c r="F9" s="38" t="s">
        <v>99</v>
      </c>
      <c r="G9" s="37" t="s">
        <v>99</v>
      </c>
      <c r="H9" s="37" t="str">
        <f>IF(E6="/","/",IF(OR(ISBLANK(Mât!$C$10),Mât!$C$10="Ne sais pas (50%)"),50%,Mât!$C$10))</f>
        <v>/</v>
      </c>
      <c r="I9" s="37" t="s">
        <v>99</v>
      </c>
      <c r="J9" s="38" t="str" cm="1">
        <f t="array" ref="J9">IFERROR(INDEX('FE et Ratios'!$I$31:$I$89,MATCH(1,1*('FE et Ratios'!$B$31:$B$89=Calculs!$E9)*('FE et Ratios'!$C$31:$C$89=Calculs!$F9)*('FE et Ratios'!$D$31:$D$89=Calculs!$G9),0)),"/")</f>
        <v>/</v>
      </c>
      <c r="K9" s="38" t="str">
        <f>IFERROR(INDEX('FE et Ratios'!$E$31:$E$89,MATCH(Calculs!$J9,'FE et Ratios'!$I$31:$I$89,0)),"/")</f>
        <v>/</v>
      </c>
      <c r="L9" s="39" t="str">
        <f>IFERROR(INDEX('FE et Ratios'!$F$31:$F$89,MATCH(Calculs!$J9,'FE et Ratios'!$I$31:$I$89,0)),"/")</f>
        <v>/</v>
      </c>
      <c r="N9" s="31">
        <f>IFERROR(SUM(N6:N7)*H9,0)</f>
        <v>0</v>
      </c>
    </row>
    <row r="10" spans="2:14" ht="20.399999999999999" thickBot="1" x14ac:dyDescent="0.7">
      <c r="N10" s="24"/>
    </row>
    <row r="11" spans="2:14" x14ac:dyDescent="0.65">
      <c r="B11" s="40" t="s">
        <v>87</v>
      </c>
      <c r="C11" s="41" t="s">
        <v>0</v>
      </c>
      <c r="D11" s="41" t="s">
        <v>101</v>
      </c>
      <c r="E11" s="42" t="str">
        <f>IF(ISBLANK(Mât!$C$13),"/",Mât!$C$13)</f>
        <v>/</v>
      </c>
      <c r="F11" s="42" t="s">
        <v>99</v>
      </c>
      <c r="G11" s="42" t="str">
        <f>IF(E11="/","/","neuf")</f>
        <v>/</v>
      </c>
      <c r="H11" s="42" t="str">
        <f>IF(E11="/","/",Mât!$C$15)</f>
        <v>/</v>
      </c>
      <c r="I11" s="43" t="str">
        <f>IF(E11="Bois",100%,IF(E11="/","/",1-Mât!$C$14))</f>
        <v>/</v>
      </c>
      <c r="J11" s="42" t="str" cm="1">
        <f t="array" ref="J11">IFERROR(INDEX('FE et Ratios'!$I$31:$I$89,MATCH(1,1*('FE et Ratios'!$B$31:$B$89=Calculs!$E11)*('FE et Ratios'!$C$31:$C$89=Calculs!$F11)*('FE et Ratios'!$D$31:$D$89=Calculs!$G11),0)),"/")</f>
        <v>/</v>
      </c>
      <c r="K11" s="42" t="str">
        <f>IFERROR(INDEX('FE et Ratios'!$E$31:$E$89,MATCH(Calculs!$J11,'FE et Ratios'!$I$31:$I$89,0)),"/")</f>
        <v>/</v>
      </c>
      <c r="L11" s="44" t="str">
        <f>IFERROR(INDEX('FE et Ratios'!$F$31:$F$89,MATCH(Calculs!$J11,'FE et Ratios'!$I$31:$I$89,0)),"/")</f>
        <v>/</v>
      </c>
      <c r="N11" s="45">
        <f>IFERROR($K11*$H11*$I11,0)</f>
        <v>0</v>
      </c>
    </row>
    <row r="12" spans="2:14" x14ac:dyDescent="0.65">
      <c r="B12" s="32" t="s">
        <v>87</v>
      </c>
      <c r="C12" s="28" t="s">
        <v>0</v>
      </c>
      <c r="D12" s="28" t="s">
        <v>101</v>
      </c>
      <c r="E12" s="25" t="str">
        <f>IF(OR(E11="Bois",E11="/"),"/",Mât!$C$13)</f>
        <v>/</v>
      </c>
      <c r="F12" s="25" t="s">
        <v>99</v>
      </c>
      <c r="G12" s="25" t="str">
        <f>IF(E12="/","/","recyclé")</f>
        <v>/</v>
      </c>
      <c r="H12" s="25" t="str">
        <f>IF(E12="/","/",Mât!$C$15)</f>
        <v>/</v>
      </c>
      <c r="I12" s="26" t="str">
        <f>IF(E12="/","/",Mât!$C$14)</f>
        <v>/</v>
      </c>
      <c r="J12" s="25" t="str" cm="1">
        <f t="array" ref="J12">IFERROR(INDEX('FE et Ratios'!$I$31:$I$89,MATCH(1,1*('FE et Ratios'!$B$31:$B$89=Calculs!$E12)*('FE et Ratios'!$C$31:$C$89=Calculs!$F12)*('FE et Ratios'!$D$31:$D$89=Calculs!$G12),0)),"/")</f>
        <v>/</v>
      </c>
      <c r="K12" s="25" t="str">
        <f>IFERROR(INDEX('FE et Ratios'!$E$31:$E$89,MATCH(Calculs!$J12,'FE et Ratios'!$I$31:$I$89,0)),"/")</f>
        <v>/</v>
      </c>
      <c r="L12" s="34" t="str">
        <f>IFERROR(INDEX('FE et Ratios'!$F$31:$F$89,MATCH(Calculs!$J12,'FE et Ratios'!$I$31:$I$89,0)),"/")</f>
        <v>/</v>
      </c>
      <c r="N12" s="30">
        <f>IFERROR($K12*$H12*$I12,0)</f>
        <v>0</v>
      </c>
    </row>
    <row r="13" spans="2:14" x14ac:dyDescent="0.65">
      <c r="B13" s="32" t="s">
        <v>87</v>
      </c>
      <c r="C13" s="28" t="s">
        <v>0</v>
      </c>
      <c r="D13" s="28" t="s">
        <v>101</v>
      </c>
      <c r="E13" s="26" t="s">
        <v>204</v>
      </c>
      <c r="F13" s="25" t="s">
        <v>99</v>
      </c>
      <c r="G13" s="26" t="s">
        <v>99</v>
      </c>
      <c r="H13" s="25" t="str">
        <f>IF(E11="/","/",IF(OR(ISBLANK(Mât!$C$16),Mât!$C$16="Je ne connais pas la donnée"),H11*'FE et Ratios'!$C$24,Mât!$E$16))</f>
        <v>/</v>
      </c>
      <c r="I13" s="26" t="s">
        <v>99</v>
      </c>
      <c r="J13" s="25" t="str" cm="1">
        <f t="array" ref="J13">IFERROR(INDEX('FE et Ratios'!$I$31:$I$89,MATCH(1,1*('FE et Ratios'!$B$31:$B$89=Calculs!$E13)*('FE et Ratios'!$C$31:$C$89=Calculs!$F13)*('FE et Ratios'!$D$31:$D$89=Calculs!$G13),0)),"/")</f>
        <v>Electricité, 2022 - mix moyen, consommation, France continentale, Base Carbone v23.2</v>
      </c>
      <c r="K13" s="25">
        <f>IFERROR(INDEX('FE et Ratios'!$E$31:$E$89,MATCH(Calculs!$J13,'FE et Ratios'!$I$31:$I$89,0)),"/")</f>
        <v>5.2040000000000003E-2</v>
      </c>
      <c r="L13" s="34" t="str">
        <f>IFERROR(INDEX('FE et Ratios'!$F$31:$F$89,MATCH(Calculs!$J13,'FE et Ratios'!$I$31:$I$89,0)),"/")</f>
        <v>kgCO2e/kWh</v>
      </c>
      <c r="N13" s="30">
        <f>IFERROR($K13*$H13,0)</f>
        <v>0</v>
      </c>
    </row>
    <row r="14" spans="2:14" ht="20.399999999999999" thickBot="1" x14ac:dyDescent="0.7">
      <c r="B14" s="35" t="s">
        <v>87</v>
      </c>
      <c r="C14" s="36" t="s">
        <v>0</v>
      </c>
      <c r="D14" s="36" t="s">
        <v>101</v>
      </c>
      <c r="E14" s="37" t="s">
        <v>99</v>
      </c>
      <c r="F14" s="38" t="s">
        <v>99</v>
      </c>
      <c r="G14" s="37" t="s">
        <v>99</v>
      </c>
      <c r="H14" s="37" t="str">
        <f>IF(E11="/","/",IF(OR(ISBLANK(Mât!$C$17),Mât!$C$17="Ne sais pas (50%)"),50%,Mât!$C$17))</f>
        <v>/</v>
      </c>
      <c r="I14" s="37" t="s">
        <v>99</v>
      </c>
      <c r="J14" s="38" t="str" cm="1">
        <f t="array" ref="J14">IFERROR(INDEX('FE et Ratios'!$I$31:$I$89,MATCH(1,1*('FE et Ratios'!$B$31:$B$89=Calculs!$E14)*('FE et Ratios'!$C$31:$C$89=Calculs!$F14)*('FE et Ratios'!$D$31:$D$89=Calculs!$G14),0)),"/")</f>
        <v>/</v>
      </c>
      <c r="K14" s="38" t="str">
        <f>IFERROR(INDEX('FE et Ratios'!$E$31:$E$89,MATCH(Calculs!$J14,'FE et Ratios'!$I$31:$I$89,0)),"/")</f>
        <v>/</v>
      </c>
      <c r="L14" s="39" t="str">
        <f>IFERROR(INDEX('FE et Ratios'!$F$31:$F$89,MATCH(Calculs!$J14,'FE et Ratios'!$I$31:$I$89,0)),"/")</f>
        <v>/</v>
      </c>
      <c r="N14" s="31">
        <f>IFERROR(SUM(N11:N12)*H14,0)</f>
        <v>0</v>
      </c>
    </row>
    <row r="15" spans="2:14" ht="20.399999999999999" thickBot="1" x14ac:dyDescent="0.7">
      <c r="N15" s="24"/>
    </row>
    <row r="16" spans="2:14" x14ac:dyDescent="0.65">
      <c r="B16" s="40" t="s">
        <v>87</v>
      </c>
      <c r="C16" s="41" t="s">
        <v>0</v>
      </c>
      <c r="D16" s="41" t="s">
        <v>102</v>
      </c>
      <c r="E16" s="42" t="str">
        <f>IF(ISBLANK(Mât!$C$20),"/",Mât!$C$20)</f>
        <v>/</v>
      </c>
      <c r="F16" s="42" t="s">
        <v>99</v>
      </c>
      <c r="G16" s="42" t="str">
        <f>IF(E16="/","/","neuf")</f>
        <v>/</v>
      </c>
      <c r="H16" s="42" t="str">
        <f>IF(E16="/","/",Mât!$C$22)</f>
        <v>/</v>
      </c>
      <c r="I16" s="43" t="str">
        <f>IF(E16="Bois",100%,IF(E16="/","/",1-Mât!$C$21))</f>
        <v>/</v>
      </c>
      <c r="J16" s="42" t="str" cm="1">
        <f t="array" ref="J16">IFERROR(INDEX('FE et Ratios'!$I$31:$I$89,MATCH(1,1*('FE et Ratios'!$B$31:$B$89=Calculs!$E16)*('FE et Ratios'!$C$31:$C$89=Calculs!$F16)*('FE et Ratios'!$D$31:$D$89=Calculs!$G16),0)),"/")</f>
        <v>/</v>
      </c>
      <c r="K16" s="42" t="str">
        <f>IFERROR(INDEX('FE et Ratios'!$E$31:$E$89,MATCH(Calculs!$J16,'FE et Ratios'!$I$31:$I$89,0)),"/")</f>
        <v>/</v>
      </c>
      <c r="L16" s="44" t="str">
        <f>IFERROR(INDEX('FE et Ratios'!$F$31:$F$89,MATCH(Calculs!$J16,'FE et Ratios'!$I$31:$I$89,0)),"/")</f>
        <v>/</v>
      </c>
      <c r="N16" s="45">
        <f>IFERROR($K16*$H16*$I16,0)</f>
        <v>0</v>
      </c>
    </row>
    <row r="17" spans="2:14" x14ac:dyDescent="0.65">
      <c r="B17" s="32" t="s">
        <v>87</v>
      </c>
      <c r="C17" s="28" t="s">
        <v>0</v>
      </c>
      <c r="D17" s="28" t="s">
        <v>102</v>
      </c>
      <c r="E17" s="25" t="str">
        <f>IF(ISBLANK(Mât!$C$20),"/",Mât!$C$20)</f>
        <v>/</v>
      </c>
      <c r="F17" s="25" t="s">
        <v>99</v>
      </c>
      <c r="G17" s="25" t="str">
        <f>IF(E17="/","/","recyclé")</f>
        <v>/</v>
      </c>
      <c r="H17" s="25" t="str">
        <f>IF(E17="/","/",Mât!$C$22)</f>
        <v>/</v>
      </c>
      <c r="I17" s="26" t="str">
        <f>IF(E17="/","/",Mât!$C$21)</f>
        <v>/</v>
      </c>
      <c r="J17" s="25" t="str" cm="1">
        <f t="array" ref="J17">IFERROR(INDEX('FE et Ratios'!$I$31:$I$89,MATCH(1,1*('FE et Ratios'!$B$31:$B$89=Calculs!$E17)*('FE et Ratios'!$C$31:$C$89=Calculs!$F17)*('FE et Ratios'!$D$31:$D$89=Calculs!$G17),0)),"/")</f>
        <v>/</v>
      </c>
      <c r="K17" s="25" t="str">
        <f>IFERROR(INDEX('FE et Ratios'!$E$31:$E$89,MATCH(Calculs!$J17,'FE et Ratios'!$I$31:$I$89,0)),"/")</f>
        <v>/</v>
      </c>
      <c r="L17" s="34" t="str">
        <f>IFERROR(INDEX('FE et Ratios'!$F$31:$F$89,MATCH(Calculs!$J17,'FE et Ratios'!$I$31:$I$89,0)),"/")</f>
        <v>/</v>
      </c>
      <c r="N17" s="30">
        <f>IFERROR($K17*$H17*$I17,0)</f>
        <v>0</v>
      </c>
    </row>
    <row r="18" spans="2:14" x14ac:dyDescent="0.65">
      <c r="B18" s="32" t="s">
        <v>87</v>
      </c>
      <c r="C18" s="28" t="s">
        <v>0</v>
      </c>
      <c r="D18" s="28" t="s">
        <v>102</v>
      </c>
      <c r="E18" s="26" t="s">
        <v>204</v>
      </c>
      <c r="F18" s="25" t="s">
        <v>99</v>
      </c>
      <c r="G18" s="26" t="s">
        <v>99</v>
      </c>
      <c r="H18" s="25" t="str">
        <f>IF(E16="/","/",IF(OR(ISBLANK(Mât!$C$23),Mât!$C$23="Je ne connais pas la donnée"),H16*'FE et Ratios'!$C$24,Mât!$E$23))</f>
        <v>/</v>
      </c>
      <c r="I18" s="26" t="s">
        <v>99</v>
      </c>
      <c r="J18" s="25" t="str" cm="1">
        <f t="array" ref="J18">IFERROR(INDEX('FE et Ratios'!$I$31:$I$89,MATCH(1,1*('FE et Ratios'!$B$31:$B$89=Calculs!$E18)*('FE et Ratios'!$C$31:$C$89=Calculs!$F18)*('FE et Ratios'!$D$31:$D$89=Calculs!$G18),0)),"/")</f>
        <v>Electricité, 2022 - mix moyen, consommation, France continentale, Base Carbone v23.2</v>
      </c>
      <c r="K18" s="25">
        <f>IFERROR(INDEX('FE et Ratios'!$E$31:$E$89,MATCH(Calculs!$J18,'FE et Ratios'!$I$31:$I$89,0)),"/")</f>
        <v>5.2040000000000003E-2</v>
      </c>
      <c r="L18" s="34" t="str">
        <f>IFERROR(INDEX('FE et Ratios'!$F$31:$F$89,MATCH(Calculs!$J18,'FE et Ratios'!$I$31:$I$89,0)),"/")</f>
        <v>kgCO2e/kWh</v>
      </c>
      <c r="N18" s="30">
        <f>IFERROR($K18*$H18,0)</f>
        <v>0</v>
      </c>
    </row>
    <row r="19" spans="2:14" ht="20.399999999999999" thickBot="1" x14ac:dyDescent="0.7">
      <c r="B19" s="35" t="s">
        <v>87</v>
      </c>
      <c r="C19" s="36" t="s">
        <v>0</v>
      </c>
      <c r="D19" s="36" t="s">
        <v>102</v>
      </c>
      <c r="E19" s="37" t="s">
        <v>99</v>
      </c>
      <c r="F19" s="38" t="s">
        <v>99</v>
      </c>
      <c r="G19" s="37" t="s">
        <v>99</v>
      </c>
      <c r="H19" s="37" t="str">
        <f>IF(E16="/","/",IF(OR(ISBLANK(Mât!$C$24),Mât!$C$24="Ne sais pas (50%)"),50%,Mât!$C$24))</f>
        <v>/</v>
      </c>
      <c r="I19" s="37" t="s">
        <v>99</v>
      </c>
      <c r="J19" s="38" t="str" cm="1">
        <f t="array" ref="J19">IFERROR(INDEX('FE et Ratios'!$I$31:$I$89,MATCH(1,1*('FE et Ratios'!$B$31:$B$89=Calculs!$E19)*('FE et Ratios'!$C$31:$C$89=Calculs!$F19)*('FE et Ratios'!$D$31:$D$89=Calculs!$G19),0)),"/")</f>
        <v>/</v>
      </c>
      <c r="K19" s="38" t="str">
        <f>IFERROR(INDEX('FE et Ratios'!$E$31:$E$89,MATCH(Calculs!$J19,'FE et Ratios'!$I$31:$I$89,0)),"/")</f>
        <v>/</v>
      </c>
      <c r="L19" s="39" t="str">
        <f>IFERROR(INDEX('FE et Ratios'!$F$31:$F$89,MATCH(Calculs!$J19,'FE et Ratios'!$I$31:$I$89,0)),"/")</f>
        <v>/</v>
      </c>
      <c r="N19" s="31">
        <f>IFERROR(SUM(N16:N17)*H19,0)</f>
        <v>0</v>
      </c>
    </row>
    <row r="20" spans="2:14" x14ac:dyDescent="0.65">
      <c r="N20" s="24"/>
    </row>
    <row r="21" spans="2:14" ht="20.399999999999999" thickBot="1" x14ac:dyDescent="0.7">
      <c r="N21" s="24"/>
    </row>
    <row r="22" spans="2:14" x14ac:dyDescent="0.65">
      <c r="B22" s="40" t="s">
        <v>87</v>
      </c>
      <c r="C22" s="47" t="s">
        <v>13</v>
      </c>
      <c r="D22" s="47" t="s">
        <v>103</v>
      </c>
      <c r="E22" s="42" t="str">
        <f>IF(ISBLANK(Luminaire!$C$5),"/",Luminaire!$C$5)</f>
        <v>/</v>
      </c>
      <c r="F22" s="42" t="str">
        <f>IF(E22="Plastique",IF(ISBLANK(Luminaire!$E$5),"Autre ou inconnu",Luminaire!$E$5),"/")</f>
        <v>/</v>
      </c>
      <c r="G22" s="42" t="str">
        <f>IF(E22="/","/","neuf")</f>
        <v>/</v>
      </c>
      <c r="H22" s="42" t="str">
        <f>IF(E22="/","/",Luminaire!$C$7)</f>
        <v>/</v>
      </c>
      <c r="I22" s="43" t="str">
        <f>IF(F22="PP",100%,IF(E22="/","/",1-Luminaire!$C$6))</f>
        <v>/</v>
      </c>
      <c r="J22" s="42" t="str" cm="1">
        <f t="array" ref="J22">IFERROR(INDEX('FE et Ratios'!$I$31:$I$89,MATCH(1,1*('FE et Ratios'!$B$31:$B$89=Calculs!$E22)*('FE et Ratios'!$C$31:$C$89=Calculs!$F22)*('FE et Ratios'!$D$31:$D$89=Calculs!$G22),0)),"/")</f>
        <v>/</v>
      </c>
      <c r="K22" s="42" t="str">
        <f>IFERROR(INDEX('FE et Ratios'!$E$31:$E$89,MATCH(Calculs!$J22,'FE et Ratios'!$I$31:$I$89,0)),"/")</f>
        <v>/</v>
      </c>
      <c r="L22" s="44" t="str">
        <f>IFERROR(INDEX('FE et Ratios'!$F$31:$F$89,MATCH(Calculs!$J22,'FE et Ratios'!$I$31:$I$89,0)),"/")</f>
        <v>/</v>
      </c>
      <c r="N22" s="45">
        <f>IFERROR($K22*$H22*$I22,0)</f>
        <v>0</v>
      </c>
    </row>
    <row r="23" spans="2:14" x14ac:dyDescent="0.65">
      <c r="B23" s="32" t="s">
        <v>87</v>
      </c>
      <c r="C23" s="46" t="s">
        <v>13</v>
      </c>
      <c r="D23" s="46" t="s">
        <v>103</v>
      </c>
      <c r="E23" s="25" t="str">
        <f>IF(OR(F22="PP",E22="/"),"/",Luminaire!$C$5)</f>
        <v>/</v>
      </c>
      <c r="F23" s="25" t="str">
        <f>IF(E23="Plastique",IF(ISBLANK(Luminaire!$E$5),"Autre ou inconnu",Luminaire!$E$5),"/")</f>
        <v>/</v>
      </c>
      <c r="G23" s="25" t="str">
        <f>IF(E23="/","/","recyclé")</f>
        <v>/</v>
      </c>
      <c r="H23" s="25" t="str">
        <f>IF(E23="/","/",Luminaire!$C$7)</f>
        <v>/</v>
      </c>
      <c r="I23" s="26" t="str">
        <f>IF(E23="/","/",Luminaire!$C$6)</f>
        <v>/</v>
      </c>
      <c r="J23" s="25" t="str" cm="1">
        <f t="array" ref="J23">IFERROR(INDEX('FE et Ratios'!$I$31:$I$89,MATCH(1,1*('FE et Ratios'!$B$31:$B$89=Calculs!$E23)*('FE et Ratios'!$C$31:$C$89=Calculs!$F23)*('FE et Ratios'!$D$31:$D$89=Calculs!$G23),0)),"/")</f>
        <v>/</v>
      </c>
      <c r="K23" s="25" t="str">
        <f>IFERROR(INDEX('FE et Ratios'!$E$31:$E$89,MATCH(Calculs!$J23,'FE et Ratios'!$I$31:$I$89,0)),"/")</f>
        <v>/</v>
      </c>
      <c r="L23" s="34" t="str">
        <f>IFERROR(INDEX('FE et Ratios'!$F$31:$F$89,MATCH(Calculs!$J23,'FE et Ratios'!$I$31:$I$89,0)),"/")</f>
        <v>/</v>
      </c>
      <c r="N23" s="30">
        <f>IFERROR($K23*$H23*$I23,0)</f>
        <v>0</v>
      </c>
    </row>
    <row r="24" spans="2:14" x14ac:dyDescent="0.65">
      <c r="B24" s="32" t="s">
        <v>87</v>
      </c>
      <c r="C24" s="46" t="s">
        <v>13</v>
      </c>
      <c r="D24" s="46" t="s">
        <v>103</v>
      </c>
      <c r="E24" s="26" t="s">
        <v>205</v>
      </c>
      <c r="F24" s="25" t="s">
        <v>99</v>
      </c>
      <c r="G24" s="26" t="s">
        <v>99</v>
      </c>
      <c r="H24" s="114" t="str">
        <f>IF(E22="/","/",IF(OR(ISBLANK(Luminaire!$C$8),Luminaire!$C$8="Je ne connais pas la donnée"),H22*'FE et Ratios'!$C$25,Luminaire!$E$8))</f>
        <v>/</v>
      </c>
      <c r="I24" s="26" t="s">
        <v>99</v>
      </c>
      <c r="J24" s="25" t="str" cm="1">
        <f t="array" ref="J24">IFERROR(INDEX('FE et Ratios'!$I$31:$I$89,MATCH(1,1*('FE et Ratios'!$B$31:$B$89=Calculs!$E24)*('FE et Ratios'!$C$31:$C$89=Calculs!$F24)*('FE et Ratios'!$D$31:$D$89=Calculs!$G24),0)),"/")</f>
        <v>Electricité, 2022 - mix moyen, consommation, France continentale, Base Carbone v23.2</v>
      </c>
      <c r="K24" s="25">
        <f>IFERROR(INDEX('FE et Ratios'!$E$31:$E$89,MATCH(Calculs!$J24,'FE et Ratios'!$I$31:$I$89,0)),"/")</f>
        <v>5.2040000000000003E-2</v>
      </c>
      <c r="L24" s="34" t="str">
        <f>IFERROR(INDEX('FE et Ratios'!$F$31:$F$89,MATCH(Calculs!$J24,'FE et Ratios'!$I$31:$I$89,0)),"/")</f>
        <v>kgCO2e/kWh</v>
      </c>
      <c r="N24" s="30">
        <f>IFERROR($K24*$H24,0)</f>
        <v>0</v>
      </c>
    </row>
    <row r="25" spans="2:14" ht="20.399999999999999" thickBot="1" x14ac:dyDescent="0.7">
      <c r="B25" s="35" t="s">
        <v>87</v>
      </c>
      <c r="C25" s="48" t="s">
        <v>13</v>
      </c>
      <c r="D25" s="48" t="s">
        <v>103</v>
      </c>
      <c r="E25" s="37" t="s">
        <v>99</v>
      </c>
      <c r="F25" s="38" t="s">
        <v>99</v>
      </c>
      <c r="G25" s="37" t="s">
        <v>99</v>
      </c>
      <c r="H25" s="37" t="str">
        <f>IF(E22="/","/",IF(OR(ISBLANK(Luminaire!$C$9),Luminaire!$C$9="Ne sais pas (50%)"),50%,Luminaire!$C$9))</f>
        <v>/</v>
      </c>
      <c r="I25" s="37" t="s">
        <v>99</v>
      </c>
      <c r="J25" s="38" t="str" cm="1">
        <f t="array" ref="J25">IFERROR(INDEX('FE et Ratios'!$I$31:$I$89,MATCH(1,1*('FE et Ratios'!$B$31:$B$89=Calculs!$E25)*('FE et Ratios'!$C$31:$C$89=Calculs!$F25)*('FE et Ratios'!$D$31:$D$89=Calculs!$G25),0)),"/")</f>
        <v>/</v>
      </c>
      <c r="K25" s="38" t="str">
        <f>IFERROR(INDEX('FE et Ratios'!$E$31:$E$89,MATCH(Calculs!$J25,'FE et Ratios'!$I$31:$I$89,0)),"/")</f>
        <v>/</v>
      </c>
      <c r="L25" s="39" t="str">
        <f>IFERROR(INDEX('FE et Ratios'!$F$31:$F$89,MATCH(Calculs!$J25,'FE et Ratios'!$I$31:$I$89,0)),"/")</f>
        <v>/</v>
      </c>
      <c r="N25" s="31">
        <f>IFERROR(SUM(N22:N23)*H25,0)</f>
        <v>0</v>
      </c>
    </row>
    <row r="26" spans="2:14" ht="20.399999999999999" thickBot="1" x14ac:dyDescent="0.7"/>
    <row r="27" spans="2:14" x14ac:dyDescent="0.65">
      <c r="B27" s="40" t="s">
        <v>87</v>
      </c>
      <c r="C27" s="47" t="s">
        <v>13</v>
      </c>
      <c r="D27" s="47" t="s">
        <v>104</v>
      </c>
      <c r="E27" s="42" t="str">
        <f>IF(ISBLANK(Luminaire!$C$12),"/",Luminaire!$C$12)</f>
        <v>/</v>
      </c>
      <c r="F27" s="42" t="str">
        <f>IF(E27="Plastique",IF(ISBLANK(Luminaire!$E$12),"Autre ou inconnu",Luminaire!$E$12),"/")</f>
        <v>/</v>
      </c>
      <c r="G27" s="42" t="str">
        <f>IF(E27="/","/","neuf")</f>
        <v>/</v>
      </c>
      <c r="H27" s="42" t="str">
        <f>IF(E27="/","/",Luminaire!$C$14)</f>
        <v>/</v>
      </c>
      <c r="I27" s="43" t="str">
        <f>IF(F27="PP",100%,IF(E27="/","/",1-Luminaire!$C$13))</f>
        <v>/</v>
      </c>
      <c r="J27" s="42" t="str" cm="1">
        <f t="array" ref="J27">IFERROR(INDEX('FE et Ratios'!$I$31:$I$89,MATCH(1,1*('FE et Ratios'!$B$31:$B$89=Calculs!$E27)*('FE et Ratios'!$C$31:$C$89=Calculs!$F27)*('FE et Ratios'!$D$31:$D$89=Calculs!$G27),0)),"/")</f>
        <v>/</v>
      </c>
      <c r="K27" s="42" t="str">
        <f>IFERROR(INDEX('FE et Ratios'!$E$31:$E$89,MATCH(Calculs!$J27,'FE et Ratios'!$I$31:$I$89,0)),"/")</f>
        <v>/</v>
      </c>
      <c r="L27" s="44" t="str">
        <f>IFERROR(INDEX('FE et Ratios'!$F$31:$F$89,MATCH(Calculs!$J27,'FE et Ratios'!$I$31:$I$89,0)),"/")</f>
        <v>/</v>
      </c>
      <c r="N27" s="45">
        <f>IFERROR($K27*$H27*$I27,0)</f>
        <v>0</v>
      </c>
    </row>
    <row r="28" spans="2:14" x14ac:dyDescent="0.65">
      <c r="B28" s="32" t="s">
        <v>87</v>
      </c>
      <c r="C28" s="46" t="s">
        <v>13</v>
      </c>
      <c r="D28" s="46" t="s">
        <v>104</v>
      </c>
      <c r="E28" s="25" t="str">
        <f>IF(OR(F27="PP",E27="/"),"/",Luminaire!$C$12)</f>
        <v>/</v>
      </c>
      <c r="F28" s="25" t="str">
        <f>IF(E28="Plastique",IF(ISBLANK(Luminaire!$E$12),"Autre ou inconnu",Luminaire!$E$12),"/")</f>
        <v>/</v>
      </c>
      <c r="G28" s="25" t="str">
        <f>IF(E28="/","/","recyclé")</f>
        <v>/</v>
      </c>
      <c r="H28" s="25" t="str">
        <f>IF(E28="/","/",Luminaire!$C$14)</f>
        <v>/</v>
      </c>
      <c r="I28" s="26" t="str">
        <f>IF(E28="/","/",Luminaire!$C$13)</f>
        <v>/</v>
      </c>
      <c r="J28" s="25" t="str" cm="1">
        <f t="array" ref="J28">IFERROR(INDEX('FE et Ratios'!$I$31:$I$89,MATCH(1,1*('FE et Ratios'!$B$31:$B$89=Calculs!$E28)*('FE et Ratios'!$C$31:$C$89=Calculs!$F28)*('FE et Ratios'!$D$31:$D$89=Calculs!$G28),0)),"/")</f>
        <v>/</v>
      </c>
      <c r="K28" s="25" t="str">
        <f>IFERROR(INDEX('FE et Ratios'!$E$31:$E$89,MATCH(Calculs!$J28,'FE et Ratios'!$I$31:$I$89,0)),"/")</f>
        <v>/</v>
      </c>
      <c r="L28" s="34" t="str">
        <f>IFERROR(INDEX('FE et Ratios'!$F$31:$F$89,MATCH(Calculs!$J28,'FE et Ratios'!$I$31:$I$89,0)),"/")</f>
        <v>/</v>
      </c>
      <c r="N28" s="30">
        <f>IFERROR($K28*$H28*$I28,0)</f>
        <v>0</v>
      </c>
    </row>
    <row r="29" spans="2:14" x14ac:dyDescent="0.65">
      <c r="B29" s="32" t="s">
        <v>87</v>
      </c>
      <c r="C29" s="46" t="s">
        <v>13</v>
      </c>
      <c r="D29" s="46" t="s">
        <v>103</v>
      </c>
      <c r="E29" s="26" t="s">
        <v>205</v>
      </c>
      <c r="F29" s="25" t="s">
        <v>99</v>
      </c>
      <c r="G29" s="26" t="s">
        <v>99</v>
      </c>
      <c r="H29" s="114" t="str">
        <f>IF(E27="/","/",IF(E27="Plastique",IF(OR(ISBLANK(Luminaire!$C$15),Luminaire!$C$15="Je ne connais pas la donnée"),H27*'FE et Ratios'!$C$25,Luminaire!$E$15),0))</f>
        <v>/</v>
      </c>
      <c r="I29" s="26" t="s">
        <v>99</v>
      </c>
      <c r="J29" s="25" t="str" cm="1">
        <f t="array" ref="J29">IFERROR(INDEX('FE et Ratios'!$I$31:$I$89,MATCH(1,1*('FE et Ratios'!$B$31:$B$89=Calculs!$E29)*('FE et Ratios'!$C$31:$C$89=Calculs!$F29)*('FE et Ratios'!$D$31:$D$89=Calculs!$G29),0)),"/")</f>
        <v>Electricité, 2022 - mix moyen, consommation, France continentale, Base Carbone v23.2</v>
      </c>
      <c r="K29" s="25">
        <f>IFERROR(INDEX('FE et Ratios'!$E$31:$E$89,MATCH(Calculs!$J29,'FE et Ratios'!$I$31:$I$89,0)),"/")</f>
        <v>5.2040000000000003E-2</v>
      </c>
      <c r="L29" s="34" t="str">
        <f>IFERROR(INDEX('FE et Ratios'!$F$31:$F$89,MATCH(Calculs!$J29,'FE et Ratios'!$I$31:$I$89,0)),"/")</f>
        <v>kgCO2e/kWh</v>
      </c>
      <c r="N29" s="30">
        <f>IFERROR($K29*$H29,0)</f>
        <v>0</v>
      </c>
    </row>
    <row r="30" spans="2:14" x14ac:dyDescent="0.65">
      <c r="B30" s="32" t="s">
        <v>87</v>
      </c>
      <c r="C30" s="46" t="s">
        <v>13</v>
      </c>
      <c r="D30" s="46" t="s">
        <v>103</v>
      </c>
      <c r="E30" s="26" t="s">
        <v>204</v>
      </c>
      <c r="F30" s="25" t="s">
        <v>99</v>
      </c>
      <c r="G30" s="26" t="s">
        <v>99</v>
      </c>
      <c r="H30" s="114" t="str">
        <f>IF(E27="/","/",IF(E27&lt;&gt;"Plastique",IF(OR(ISBLANK(Luminaire!$C$15),Luminaire!$C$15="Je ne connais pas le donnée"),H27*'FE et Ratios'!$C$24,Luminaire!$E$15),0))</f>
        <v>/</v>
      </c>
      <c r="I30" s="26" t="s">
        <v>99</v>
      </c>
      <c r="J30" s="25" t="str" cm="1">
        <f t="array" ref="J30">IFERROR(INDEX('FE et Ratios'!$I$31:$I$89,MATCH(1,1*('FE et Ratios'!$B$31:$B$89=Calculs!$E30)*('FE et Ratios'!$C$31:$C$89=Calculs!$F30)*('FE et Ratios'!$D$31:$D$89=Calculs!$G30),0)),"/")</f>
        <v>Electricité, 2022 - mix moyen, consommation, France continentale, Base Carbone v23.2</v>
      </c>
      <c r="K30" s="25">
        <f>IFERROR(INDEX('FE et Ratios'!$E$31:$E$89,MATCH(Calculs!$J30,'FE et Ratios'!$I$31:$I$89,0)),"/")</f>
        <v>5.2040000000000003E-2</v>
      </c>
      <c r="L30" s="34" t="str">
        <f>IFERROR(INDEX('FE et Ratios'!$F$31:$F$89,MATCH(Calculs!$J30,'FE et Ratios'!$I$31:$I$89,0)),"/")</f>
        <v>kgCO2e/kWh</v>
      </c>
      <c r="N30" s="30">
        <f>IFERROR($K30*$H30,0)</f>
        <v>0</v>
      </c>
    </row>
    <row r="31" spans="2:14" ht="20.399999999999999" thickBot="1" x14ac:dyDescent="0.7">
      <c r="B31" s="35" t="s">
        <v>87</v>
      </c>
      <c r="C31" s="48" t="s">
        <v>13</v>
      </c>
      <c r="D31" s="48" t="s">
        <v>104</v>
      </c>
      <c r="E31" s="37" t="s">
        <v>99</v>
      </c>
      <c r="F31" s="38" t="s">
        <v>99</v>
      </c>
      <c r="G31" s="37" t="s">
        <v>99</v>
      </c>
      <c r="H31" s="37" t="str">
        <f>IF(E27="/","/",IF(OR(ISBLANK(Luminaire!$C$16),Luminaire!$C$16="Ne sais pas (50%)"),50%,Luminaire!$C$16))</f>
        <v>/</v>
      </c>
      <c r="I31" s="37" t="s">
        <v>99</v>
      </c>
      <c r="J31" s="38" t="str" cm="1">
        <f t="array" ref="J31">IFERROR(INDEX('FE et Ratios'!$I$31:$I$89,MATCH(1,1*('FE et Ratios'!$B$31:$B$89=Calculs!$E31)*('FE et Ratios'!$C$31:$C$89=Calculs!$F31)*('FE et Ratios'!$D$31:$D$89=Calculs!$G31),0)),"/")</f>
        <v>/</v>
      </c>
      <c r="K31" s="38" t="str">
        <f>IFERROR(INDEX('FE et Ratios'!$E$31:$E$89,MATCH(Calculs!$J31,'FE et Ratios'!$I$31:$I$89,0)),"/")</f>
        <v>/</v>
      </c>
      <c r="L31" s="39" t="str">
        <f>IFERROR(INDEX('FE et Ratios'!$F$31:$F$89,MATCH(Calculs!$J31,'FE et Ratios'!$I$31:$I$89,0)),"/")</f>
        <v>/</v>
      </c>
      <c r="N31" s="31">
        <f>IFERROR(SUM(N27:N28)*H31,0)</f>
        <v>0</v>
      </c>
    </row>
    <row r="32" spans="2:14" ht="20.399999999999999" thickBot="1" x14ac:dyDescent="0.7"/>
    <row r="33" spans="2:14" x14ac:dyDescent="0.65">
      <c r="B33" s="40" t="s">
        <v>87</v>
      </c>
      <c r="C33" s="47" t="s">
        <v>13</v>
      </c>
      <c r="D33" s="47" t="s">
        <v>105</v>
      </c>
      <c r="E33" s="42" t="str">
        <f>IF(ISBLANK(Luminaire!C19),"/",'FE et Ratios'!B56)</f>
        <v>/</v>
      </c>
      <c r="F33" s="42" t="s">
        <v>99</v>
      </c>
      <c r="G33" s="42" t="s">
        <v>99</v>
      </c>
      <c r="H33" s="42" t="str">
        <f>IF(ISBLANK(Luminaire!$C$19),"/",Luminaire!$C$19)</f>
        <v>/</v>
      </c>
      <c r="I33" s="51" t="str">
        <f>IF(ISBLANK(Luminaire!$C$19),"/",IF(ISBLANK(Luminaire!$E19),'Lisez-moi'!$C$9/'FE et Ratios'!$C$13,'Lisez-moi'!$C$9/Luminaire!$E$19))</f>
        <v>/</v>
      </c>
      <c r="J33" s="42" t="str" cm="1">
        <f t="array" ref="J33">IFERROR(INDEX('FE et Ratios'!$I$31:$I$89,MATCH(1,1*('FE et Ratios'!$B$31:$B$89=Calculs!$E33)*('FE et Ratios'!$C$31:$C$89=Calculs!$F33)*('FE et Ratios'!$D$31:$D$89=Calculs!$G33),0)),"/")</f>
        <v>/</v>
      </c>
      <c r="K33" s="42" t="str">
        <f>IFERROR(INDEX('FE et Ratios'!$E$31:$E$89,MATCH(Calculs!$J33,'FE et Ratios'!$I$31:$I$89,0)),"/")</f>
        <v>/</v>
      </c>
      <c r="L33" s="44" t="str">
        <f>IFERROR(INDEX('FE et Ratios'!$F$31:$F$89,MATCH(Calculs!$J33,'FE et Ratios'!$I$31:$I$89,0)),"/")</f>
        <v>/</v>
      </c>
      <c r="N33" s="45">
        <f>IFERROR($K33*$H33*$I33,0)</f>
        <v>0</v>
      </c>
    </row>
    <row r="34" spans="2:14" x14ac:dyDescent="0.65">
      <c r="B34" s="32" t="s">
        <v>87</v>
      </c>
      <c r="C34" s="46" t="s">
        <v>13</v>
      </c>
      <c r="D34" s="46" t="s">
        <v>105</v>
      </c>
      <c r="E34" s="25" t="str">
        <f>IF(ISBLANK(Luminaire!C20),"/",'FE et Ratios'!B57)</f>
        <v>/</v>
      </c>
      <c r="F34" s="25" t="s">
        <v>99</v>
      </c>
      <c r="G34" s="25" t="s">
        <v>99</v>
      </c>
      <c r="H34" s="25" t="str">
        <f>IF(ISBLANK(Luminaire!$C$20),"/",Luminaire!$C$20)</f>
        <v>/</v>
      </c>
      <c r="I34" s="26" t="str">
        <f>IF(ISBLANK(Luminaire!$C$20),"/",IF(ISBLANK(Luminaire!$E20),'Lisez-moi'!$C$9/'FE et Ratios'!$C$14,'Lisez-moi'!$C$9/Luminaire!$E$20))</f>
        <v>/</v>
      </c>
      <c r="J34" s="25" t="str" cm="1">
        <f t="array" ref="J34">IFERROR(INDEX('FE et Ratios'!$I$31:$I$89,MATCH(1,1*('FE et Ratios'!$B$31:$B$89=Calculs!$E34)*('FE et Ratios'!$C$31:$C$89=Calculs!$F34)*('FE et Ratios'!$D$31:$D$89=Calculs!$G34),0)),"/")</f>
        <v>/</v>
      </c>
      <c r="K34" s="25" t="str">
        <f>IFERROR(INDEX('FE et Ratios'!$E$31:$E$89,MATCH(Calculs!$J34,'FE et Ratios'!$I$31:$I$89,0)),"/")</f>
        <v>/</v>
      </c>
      <c r="L34" s="34" t="str">
        <f>IFERROR(INDEX('FE et Ratios'!$F$31:$F$89,MATCH(Calculs!$J34,'FE et Ratios'!$I$31:$I$89,0)),"/")</f>
        <v>/</v>
      </c>
      <c r="N34" s="30">
        <f>IFERROR($K34*$H34*$I34,0)</f>
        <v>0</v>
      </c>
    </row>
    <row r="35" spans="2:14" x14ac:dyDescent="0.65">
      <c r="B35" s="32" t="s">
        <v>87</v>
      </c>
      <c r="C35" s="46" t="s">
        <v>13</v>
      </c>
      <c r="D35" s="46" t="s">
        <v>105</v>
      </c>
      <c r="E35" s="26" t="str">
        <f>IF(ISBLANK(Luminaire!C22),"/",'FE et Ratios'!B58)</f>
        <v>/</v>
      </c>
      <c r="F35" s="26" t="s">
        <v>99</v>
      </c>
      <c r="G35" s="26" t="s">
        <v>99</v>
      </c>
      <c r="H35" s="80" t="str">
        <f>IF(ISBLANK(Luminaire!$C$22),"/",Luminaire!$C$22)</f>
        <v>/</v>
      </c>
      <c r="I35" s="26" t="str">
        <f>IF(ISBLANK(Luminaire!$C$22),"/",IF(ISBLANK(Luminaire!$E22),'Lisez-moi'!$C$9/'FE et Ratios'!$C$15,'Lisez-moi'!$C$9/Luminaire!$E$22))</f>
        <v>/</v>
      </c>
      <c r="J35" s="25" t="str" cm="1">
        <f t="array" ref="J35">IFERROR(INDEX('FE et Ratios'!$I$31:$I$89,MATCH(1,1*('FE et Ratios'!$B$31:$B$89=Calculs!$E35)*('FE et Ratios'!$C$31:$C$89=Calculs!$F35)*('FE et Ratios'!$D$31:$D$89=Calculs!$G35),0)),"/")</f>
        <v>/</v>
      </c>
      <c r="K35" s="25" t="str">
        <f>IFERROR(INDEX('FE et Ratios'!$E$31:$E$89,MATCH(Calculs!$J35,'FE et Ratios'!$I$31:$I$89,0)),"/")</f>
        <v>/</v>
      </c>
      <c r="L35" s="34" t="str">
        <f>IFERROR(INDEX('FE et Ratios'!$F$31:$F$89,MATCH(Calculs!$J35,'FE et Ratios'!$I$31:$I$89,0)),"/")</f>
        <v>/</v>
      </c>
      <c r="N35" s="30">
        <f>IFERROR($K35*$H35*$I35,0)</f>
        <v>0</v>
      </c>
    </row>
    <row r="36" spans="2:14" ht="20.399999999999999" thickBot="1" x14ac:dyDescent="0.7">
      <c r="B36" s="35" t="s">
        <v>87</v>
      </c>
      <c r="C36" s="48" t="s">
        <v>13</v>
      </c>
      <c r="D36" s="48" t="s">
        <v>105</v>
      </c>
      <c r="E36" s="37" t="str">
        <f>IF(Luminaire!C23&lt;1,"/",'FE et Ratios'!B59)</f>
        <v>/</v>
      </c>
      <c r="F36" s="37" t="s">
        <v>99</v>
      </c>
      <c r="G36" s="37" t="s">
        <v>99</v>
      </c>
      <c r="H36" s="52" t="str">
        <f>IF(ISBLANK(Luminaire!$C$23),"/",Luminaire!$C$23)</f>
        <v>/</v>
      </c>
      <c r="I36" s="37" t="str">
        <f>IF(ISBLANK(Luminaire!$C$23),"/",IF(ISBLANK(Luminaire!$E23),'Lisez-moi'!$C$9/'FE et Ratios'!$C$16,'Lisez-moi'!$C$9/Luminaire!$E$23))</f>
        <v>/</v>
      </c>
      <c r="J36" s="38" t="str" cm="1">
        <f t="array" ref="J36">IFERROR(INDEX('FE et Ratios'!$I$31:$I$89,MATCH(1,1*('FE et Ratios'!$B$31:$B$89=Calculs!$E36)*('FE et Ratios'!$C$31:$C$89=Calculs!$F36)*('FE et Ratios'!$D$31:$D$89=Calculs!$G36),0)),"/")</f>
        <v>/</v>
      </c>
      <c r="K36" s="38" t="str">
        <f>IFERROR(INDEX('FE et Ratios'!$E$31:$E$89,MATCH(Calculs!$J36,'FE et Ratios'!$I$31:$I$89,0)),"/")</f>
        <v>/</v>
      </c>
      <c r="L36" s="39" t="str">
        <f>IFERROR(INDEX('FE et Ratios'!$F$31:$F$89,MATCH(Calculs!$J36,'FE et Ratios'!$I$31:$I$89,0)),"/")</f>
        <v>/</v>
      </c>
      <c r="N36" s="31">
        <f>IFERROR($K36*$H36*$I36,0)</f>
        <v>0</v>
      </c>
    </row>
    <row r="38" spans="2:14" ht="20.399999999999999" thickBot="1" x14ac:dyDescent="0.7"/>
    <row r="39" spans="2:14" ht="20.399999999999999" thickBot="1" x14ac:dyDescent="0.7">
      <c r="B39" s="54" t="s">
        <v>87</v>
      </c>
      <c r="C39" s="55" t="s">
        <v>14</v>
      </c>
      <c r="D39" s="55" t="s">
        <v>3</v>
      </c>
      <c r="E39" s="56" t="str">
        <f>IF(ISBLANK(Photovoltaïque!$C$5),"/",Photovoltaïque!$C$5)</f>
        <v>/</v>
      </c>
      <c r="F39" s="56" t="s">
        <v>99</v>
      </c>
      <c r="G39" s="56" t="s">
        <v>99</v>
      </c>
      <c r="H39" s="56" t="str">
        <f>IF(E39="/","/",Photovoltaïque!$C$6)</f>
        <v>/</v>
      </c>
      <c r="I39" s="57" t="str">
        <f>IF(ISBLANK(Photovoltaïque!$C$5),"/",IF(ISBLANK(Photovoltaïque!$C7),'Lisez-moi'!$C$9/'FE et Ratios'!$C$17,'Lisez-moi'!$C$9/Photovoltaïque!$C$7))</f>
        <v>/</v>
      </c>
      <c r="J39" s="56" t="str" cm="1">
        <f t="array" ref="J39">IFERROR(IF(AND(Photovoltaïque!$C$5="Saisir l'impact carbone de la fabrication",Photovoltaïque!$E$5=0),'FE et Ratios'!$I$66,INDEX('FE et Ratios'!$I$31:$I$89,MATCH(1,1*('FE et Ratios'!$B$31:$B$89=Calculs!$E39)*('FE et Ratios'!$C$31:$C$89=Calculs!$F39)*('FE et Ratios'!$D$31:$D$89=Calculs!$G39),0))),"/")</f>
        <v>/</v>
      </c>
      <c r="K39" s="56" t="str">
        <f>IFERROR(INDEX('FE et Ratios'!$E$31:$E$89,MATCH(Calculs!$J39,'FE et Ratios'!$I$31:$I$89,0)),"/")</f>
        <v>/</v>
      </c>
      <c r="L39" s="58" t="str">
        <f>IFERROR(INDEX('FE et Ratios'!$F$31:$F$89,MATCH(Calculs!$J39,'FE et Ratios'!$I$31:$I$89,0)),"/")</f>
        <v>/</v>
      </c>
      <c r="N39" s="59">
        <f>IFERROR(IF(AND(Photovoltaïque!$E$5&lt;&gt;0,Photovoltaïque!$C$5="Saisir l'impact carbone de la fabrication"),Photovoltaïque!$E$5*I$39,$K39*$H39*$I39),0)</f>
        <v>0</v>
      </c>
    </row>
    <row r="40" spans="2:14" ht="20.399999999999999" thickBot="1" x14ac:dyDescent="0.7"/>
    <row r="41" spans="2:14" ht="20.399999999999999" thickBot="1" x14ac:dyDescent="0.7">
      <c r="B41" s="54" t="s">
        <v>87</v>
      </c>
      <c r="C41" s="55" t="s">
        <v>14</v>
      </c>
      <c r="D41" s="55" t="s">
        <v>106</v>
      </c>
      <c r="E41" s="56" t="str">
        <f>IF(ISBLANK(Photovoltaïque!$C$10),"/",Photovoltaïque!$C$10)</f>
        <v>/</v>
      </c>
      <c r="F41" s="56" t="s">
        <v>99</v>
      </c>
      <c r="G41" s="56" t="s">
        <v>99</v>
      </c>
      <c r="H41" s="56" t="str">
        <f>IF(E41="/","/",Photovoltaïque!$C$11)</f>
        <v>/</v>
      </c>
      <c r="I41" s="57" t="str">
        <f>IF(ISBLANK(Photovoltaïque!$C$10),"/",IF(ISBLANK(Photovoltaïque!$C12),'Lisez-moi'!$C$9/'FE et Ratios'!$C$18,'Lisez-moi'!$C$9/Photovoltaïque!$C$12))</f>
        <v>/</v>
      </c>
      <c r="J41" s="56" t="str" cm="1">
        <f t="array" ref="J41">IFERROR(IF(AND(Photovoltaïque!$C$10="Saisir l'impact carbone de la fabrication",Photovoltaïque!$E$10=0),'FE et Ratios'!$I$76,INDEX('FE et Ratios'!$I$31:$I$89,MATCH(1,1*('FE et Ratios'!$B$31:$B$89=Calculs!$E41)*('FE et Ratios'!$C$31:$C$89=Calculs!$F41)*('FE et Ratios'!$D$31:$D$89=Calculs!$G41),0))),"/")</f>
        <v>/</v>
      </c>
      <c r="K41" s="56" t="str">
        <f>IFERROR(INDEX('FE et Ratios'!$E$31:$E$89,MATCH(Calculs!$J41,'FE et Ratios'!$I$31:$I$89,0)),"/")</f>
        <v>/</v>
      </c>
      <c r="L41" s="58" t="str">
        <f>IFERROR(INDEX('FE et Ratios'!$F$31:$F$89,MATCH(Calculs!$J41,'FE et Ratios'!$I$31:$I$89,0)),"/")</f>
        <v>/</v>
      </c>
      <c r="N41" s="59">
        <f>IFERROR(IF(AND(Photovoltaïque!$E$10&lt;&gt;0,Photovoltaïque!$C$10="Saisir l'impact carbone de la fabrication"),Photovoltaïque!$E$10*I$41,$K41*$H41*$I41),0)</f>
        <v>0</v>
      </c>
    </row>
    <row r="42" spans="2:14" ht="20.399999999999999" thickBot="1" x14ac:dyDescent="0.7"/>
    <row r="43" spans="2:14" ht="20.399999999999999" thickBot="1" x14ac:dyDescent="0.7">
      <c r="B43" s="54" t="s">
        <v>87</v>
      </c>
      <c r="C43" s="55" t="s">
        <v>14</v>
      </c>
      <c r="D43" s="55" t="s">
        <v>6</v>
      </c>
      <c r="E43" s="56" t="str">
        <f>IF(ISBLANK(Photovoltaïque!$C$15),"/",Photovoltaïque!$C$15)</f>
        <v>/</v>
      </c>
      <c r="F43" s="56" t="s">
        <v>99</v>
      </c>
      <c r="G43" s="56" t="s">
        <v>99</v>
      </c>
      <c r="H43" s="56" t="str">
        <f>IF(E43="/","/",IF(E43="Autre contrôleur de charge",IF(Photovoltaïque!$C$16&lt;&gt;0,Photovoltaïque!$C$16,'FE et Ratios'!$C$8),1))</f>
        <v>/</v>
      </c>
      <c r="I43" s="57" t="str">
        <f>IF(ISBLANK(Photovoltaïque!$C$15),"/",IF(ISBLANK(Photovoltaïque!$C17),'Lisez-moi'!$C$9/'FE et Ratios'!$C$19,'Lisez-moi'!$C$9/Photovoltaïque!$C$17))</f>
        <v>/</v>
      </c>
      <c r="J43" s="56" t="str" cm="1">
        <f t="array" ref="J43">IFERROR(INDEX('FE et Ratios'!$I$31:$I$89,MATCH(1,1*('FE et Ratios'!$B$31:$B$89=Calculs!$E43)*('FE et Ratios'!$C$31:$C$89=Calculs!$F43)*('FE et Ratios'!$D$31:$D$89=Calculs!$G43),0)),"/")</f>
        <v>/</v>
      </c>
      <c r="K43" s="56" t="str">
        <f>IFERROR(INDEX('FE et Ratios'!$E$31:$E$89,MATCH(Calculs!$J43,'FE et Ratios'!$I$31:$I$89,0)),"/")</f>
        <v>/</v>
      </c>
      <c r="L43" s="58" t="str">
        <f>IFERROR(INDEX('FE et Ratios'!$F$31:$F$89,MATCH(Calculs!$J43,'FE et Ratios'!$I$31:$I$89,0)),"/")</f>
        <v>/</v>
      </c>
      <c r="N43" s="59">
        <f>IFERROR($K43*$H43*$I43,0)</f>
        <v>0</v>
      </c>
    </row>
    <row r="45" spans="2:14" ht="20.399999999999999" thickBot="1" x14ac:dyDescent="0.7"/>
    <row r="46" spans="2:14" ht="20.399999999999999" thickBot="1" x14ac:dyDescent="0.7">
      <c r="B46" s="54" t="s">
        <v>169</v>
      </c>
      <c r="C46" s="60" t="s">
        <v>170</v>
      </c>
      <c r="D46" s="60" t="s">
        <v>171</v>
      </c>
      <c r="E46" s="56" t="str">
        <f>IF(AND(E39="/",E41="/",E43="/"),"Mix électrique national (France)","/")</f>
        <v>Mix électrique national (France)</v>
      </c>
      <c r="F46" s="56" t="s">
        <v>99</v>
      </c>
      <c r="G46" s="56" t="str">
        <f>IF(E46&lt;&gt;"/","Pleine puissance","/")</f>
        <v>Pleine puissance</v>
      </c>
      <c r="H46" s="56">
        <f>IF(E46="/","/",IF(Luminaire!C26&lt;&gt;0,Luminaire!C26,'FE et Ratios'!C21)*IF(Luminaire!$C$21&lt;&gt;0,Luminaire!$C$21,'FE et Ratios'!$C$20*Luminaire!$C$20)*I46*'Lisez-moi'!$C$9/1000)</f>
        <v>0</v>
      </c>
      <c r="I46" s="57">
        <f>IF(E46="/","/",100%)</f>
        <v>1</v>
      </c>
      <c r="J46" s="56" t="str" cm="1">
        <f t="array" ref="J46">IFERROR(INDEX('FE et Ratios'!$I$31:$I$89,MATCH(1,1*('FE et Ratios'!$B$31:$B$89=Calculs!$E46)*('FE et Ratios'!$C$31:$C$89=Calculs!$F46)*('FE et Ratios'!$D$31:$D$89=Calculs!$G46),0)),"/")</f>
        <v>Electricité - Projection selon scénarios RTE = PACTE Industrie retenu, consommation, France continentale, RTE et ekodev</v>
      </c>
      <c r="K46" s="56">
        <f>IFERROR(INDEX('FE et Ratios'!$E$31:$E$89,MATCH(Calculs!$J46,'FE et Ratios'!$I$31:$I$89,0)),"/")</f>
        <v>3.2685501966102391E-2</v>
      </c>
      <c r="L46" s="58" t="str">
        <f>IFERROR(INDEX('FE et Ratios'!$F$31:$F$89,MATCH(Calculs!$J46,'FE et Ratios'!$I$31:$I$89,0)),"/")</f>
        <v>kgCO2e/kWh</v>
      </c>
      <c r="N46" s="59">
        <f>IFERROR($K46*$H46*$I46,0)</f>
        <v>0</v>
      </c>
    </row>
    <row r="47" spans="2:14" ht="20.399999999999999" thickBot="1" x14ac:dyDescent="0.7">
      <c r="B47" s="54" t="s">
        <v>169</v>
      </c>
      <c r="C47" s="60" t="s">
        <v>170</v>
      </c>
      <c r="D47" s="60" t="s">
        <v>171</v>
      </c>
      <c r="E47" s="56" t="str">
        <f>IF(AND(E39="/",E41="/",E43="/"),"Mix électrique national (France)","/")</f>
        <v>Mix électrique national (France)</v>
      </c>
      <c r="F47" s="56" t="s">
        <v>99</v>
      </c>
      <c r="G47" s="56" t="str">
        <f>IF(E47&lt;&gt;"/","Puissance réduite","/")</f>
        <v>Puissance réduite</v>
      </c>
      <c r="H47" s="56">
        <f>IF(E47="/","/",IF(Luminaire!C27&lt;&gt;0,Luminaire!C27,'FE et Ratios'!C22)*IF(Luminaire!$C$21&lt;&gt;0,Luminaire!$C$21,'FE et Ratios'!$C$20*Luminaire!$C$20)*I47*'Lisez-moi'!$C$9/1000)</f>
        <v>0</v>
      </c>
      <c r="I47" s="57">
        <f>IF(E47="/","/",IF(Luminaire!C28&lt;&gt;0,Luminaire!C28,'FE et Ratios'!C23))</f>
        <v>0.7</v>
      </c>
      <c r="J47" s="56" t="str" cm="1">
        <f t="array" ref="J47">IFERROR(INDEX('FE et Ratios'!$I$31:$I$89,MATCH(1,1*('FE et Ratios'!$B$31:$B$89=Calculs!$E47)*('FE et Ratios'!$C$31:$C$89=Calculs!$F47)*('FE et Ratios'!$D$31:$D$89=Calculs!$G47),0)),"/")</f>
        <v>Electricité - Projection selon scénarios RTE = PACTE Industrie retenu, consommation, France continentale, RTE et ekodev</v>
      </c>
      <c r="K47" s="56">
        <f>IFERROR(INDEX('FE et Ratios'!$E$31:$E$89,MATCH(Calculs!$J47,'FE et Ratios'!$I$31:$I$89,0)),"/")</f>
        <v>3.2685501966102391E-2</v>
      </c>
      <c r="L47" s="58" t="str">
        <f>IFERROR(INDEX('FE et Ratios'!$F$31:$F$89,MATCH(Calculs!$J47,'FE et Ratios'!$I$31:$I$89,0)),"/")</f>
        <v>kgCO2e/kWh</v>
      </c>
      <c r="N47" s="59">
        <f>IFERROR($K47*$H47*$I47,0)</f>
        <v>0</v>
      </c>
    </row>
  </sheetData>
  <sheetProtection algorithmName="SHA-512" hashValue="8agNT4/vaUBownEnoRyPqZxvqjI01M8LLxtYZVOf3VExjtz0f0e3dLRKk3az8C3IYPLV01GHO24MAWS+JFp7Jw==" saltValue="B1QXjOukMmVw2L7yHSlPHQ==" spinCount="100000" sheet="1" formatCells="0" formatColumns="0" formatRows="0" insertColumns="0" insertRows="0" insertHyperlinks="0" deleteColumns="0" deleteRows="0" sort="0" autoFilter="0" pivotTables="0"/>
  <mergeCells count="3">
    <mergeCell ref="J4:L4"/>
    <mergeCell ref="B4:D4"/>
    <mergeCell ref="E4: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84497-891A-4DA2-9392-648923443859}">
  <sheetPr>
    <tabColor theme="2" tint="0.249977111117893"/>
  </sheetPr>
  <dimension ref="B2:I82"/>
  <sheetViews>
    <sheetView topLeftCell="A55" zoomScale="85" zoomScaleNormal="85" workbookViewId="0">
      <selection activeCell="F21" sqref="F21"/>
    </sheetView>
  </sheetViews>
  <sheetFormatPr baseColWidth="10" defaultRowHeight="19.8" x14ac:dyDescent="0.65"/>
  <cols>
    <col min="1" max="1" width="11.19921875" style="1"/>
    <col min="2" max="2" width="55.296875" style="1" bestFit="1" customWidth="1"/>
    <col min="3" max="3" width="13.296875" style="1" bestFit="1" customWidth="1"/>
    <col min="4" max="4" width="12.69921875" style="1" bestFit="1" customWidth="1"/>
    <col min="5" max="5" width="7.8984375" style="1" bestFit="1" customWidth="1"/>
    <col min="6" max="6" width="15.796875" style="1" customWidth="1"/>
    <col min="7" max="7" width="11.8984375" style="1" bestFit="1" customWidth="1"/>
    <col min="8" max="8" width="11.19921875" style="1" customWidth="1"/>
    <col min="9" max="9" width="98.5" style="1" bestFit="1" customWidth="1"/>
    <col min="10" max="16384" width="11.19921875" style="1"/>
  </cols>
  <sheetData>
    <row r="2" spans="2:3" s="16" customFormat="1" ht="25.8" x14ac:dyDescent="0.85">
      <c r="B2" s="17" t="s">
        <v>67</v>
      </c>
    </row>
    <row r="4" spans="2:3" s="18" customFormat="1" ht="22.8" x14ac:dyDescent="0.75">
      <c r="B4" s="19" t="s">
        <v>68</v>
      </c>
    </row>
    <row r="6" spans="2:3" x14ac:dyDescent="0.65">
      <c r="B6" s="20" t="s">
        <v>135</v>
      </c>
      <c r="C6" s="65">
        <v>5.0000000000000001E-4</v>
      </c>
    </row>
    <row r="7" spans="2:3" x14ac:dyDescent="0.65">
      <c r="B7" s="20" t="s">
        <v>138</v>
      </c>
      <c r="C7" s="66">
        <f>0.00185/0.0001</f>
        <v>18.5</v>
      </c>
    </row>
    <row r="8" spans="2:3" x14ac:dyDescent="0.65">
      <c r="B8" s="20" t="s">
        <v>166</v>
      </c>
      <c r="C8" s="67">
        <f>1.44+0.22+0.81+0.23</f>
        <v>2.6999999999999997</v>
      </c>
    </row>
    <row r="12" spans="2:3" x14ac:dyDescent="0.65">
      <c r="B12" s="2" t="s">
        <v>178</v>
      </c>
    </row>
    <row r="13" spans="2:3" x14ac:dyDescent="0.65">
      <c r="B13" s="20" t="s">
        <v>131</v>
      </c>
      <c r="C13" s="61">
        <v>10</v>
      </c>
    </row>
    <row r="14" spans="2:3" x14ac:dyDescent="0.65">
      <c r="B14" s="20" t="s">
        <v>132</v>
      </c>
      <c r="C14" s="61">
        <v>30</v>
      </c>
    </row>
    <row r="15" spans="2:3" x14ac:dyDescent="0.65">
      <c r="B15" s="20" t="s">
        <v>136</v>
      </c>
      <c r="C15" s="61">
        <v>30</v>
      </c>
    </row>
    <row r="16" spans="2:3" x14ac:dyDescent="0.65">
      <c r="B16" s="20" t="s">
        <v>141</v>
      </c>
      <c r="C16" s="61">
        <v>30</v>
      </c>
    </row>
    <row r="17" spans="2:9" x14ac:dyDescent="0.65">
      <c r="B17" s="20" t="s">
        <v>149</v>
      </c>
      <c r="C17" s="61">
        <v>10</v>
      </c>
    </row>
    <row r="18" spans="2:9" x14ac:dyDescent="0.65">
      <c r="B18" s="20" t="s">
        <v>159</v>
      </c>
      <c r="C18" s="61">
        <v>20</v>
      </c>
    </row>
    <row r="19" spans="2:9" x14ac:dyDescent="0.65">
      <c r="B19" s="20" t="s">
        <v>165</v>
      </c>
      <c r="C19" s="61">
        <v>10</v>
      </c>
    </row>
    <row r="20" spans="2:9" x14ac:dyDescent="0.65">
      <c r="B20" s="20" t="s">
        <v>177</v>
      </c>
      <c r="C20" s="62">
        <v>2.5</v>
      </c>
    </row>
    <row r="21" spans="2:9" x14ac:dyDescent="0.65">
      <c r="B21" s="20" t="s">
        <v>63</v>
      </c>
      <c r="C21" s="63">
        <v>2000</v>
      </c>
    </row>
    <row r="22" spans="2:9" x14ac:dyDescent="0.65">
      <c r="B22" s="20" t="s">
        <v>64</v>
      </c>
      <c r="C22" s="63">
        <v>2000</v>
      </c>
    </row>
    <row r="23" spans="2:9" x14ac:dyDescent="0.65">
      <c r="B23" s="20" t="s">
        <v>65</v>
      </c>
      <c r="C23" s="64">
        <v>0.5</v>
      </c>
    </row>
    <row r="24" spans="2:9" x14ac:dyDescent="0.65">
      <c r="B24" s="20" t="s">
        <v>201</v>
      </c>
      <c r="C24" s="112">
        <v>0.2</v>
      </c>
    </row>
    <row r="25" spans="2:9" x14ac:dyDescent="0.65">
      <c r="B25" s="20" t="s">
        <v>202</v>
      </c>
      <c r="C25" s="112">
        <v>2.09</v>
      </c>
    </row>
    <row r="27" spans="2:9" s="18" customFormat="1" ht="22.8" x14ac:dyDescent="0.75">
      <c r="B27" s="19" t="s">
        <v>69</v>
      </c>
    </row>
    <row r="28" spans="2:9" ht="20.399999999999999" thickBot="1" x14ac:dyDescent="0.7"/>
    <row r="29" spans="2:9" ht="44.4" customHeight="1" x14ac:dyDescent="0.65">
      <c r="B29" s="158" t="s">
        <v>107</v>
      </c>
      <c r="C29" s="159"/>
      <c r="D29" s="159"/>
      <c r="E29" s="157" t="s">
        <v>96</v>
      </c>
      <c r="F29" s="157"/>
      <c r="G29" s="155" t="s">
        <v>95</v>
      </c>
      <c r="H29" s="155"/>
      <c r="I29" s="156"/>
    </row>
    <row r="30" spans="2:9" x14ac:dyDescent="0.65">
      <c r="B30" s="101" t="s">
        <v>70</v>
      </c>
      <c r="C30" s="97" t="s">
        <v>120</v>
      </c>
      <c r="D30" s="97" t="s">
        <v>92</v>
      </c>
      <c r="E30" s="97" t="s">
        <v>71</v>
      </c>
      <c r="F30" s="97" t="s">
        <v>72</v>
      </c>
      <c r="G30" s="97" t="s">
        <v>71</v>
      </c>
      <c r="H30" s="97" t="s">
        <v>72</v>
      </c>
      <c r="I30" s="102" t="s">
        <v>73</v>
      </c>
    </row>
    <row r="31" spans="2:9" x14ac:dyDescent="0.65">
      <c r="B31" s="103" t="s">
        <v>1</v>
      </c>
      <c r="C31" s="20" t="s">
        <v>99</v>
      </c>
      <c r="D31" s="20" t="s">
        <v>93</v>
      </c>
      <c r="E31" s="98">
        <f>G31/1000</f>
        <v>2.2109999999999999</v>
      </c>
      <c r="F31" s="20" t="s">
        <v>97</v>
      </c>
      <c r="G31" s="20">
        <v>2211</v>
      </c>
      <c r="H31" s="20" t="s">
        <v>79</v>
      </c>
      <c r="I31" s="104" t="s">
        <v>80</v>
      </c>
    </row>
    <row r="32" spans="2:9" x14ac:dyDescent="0.65">
      <c r="B32" s="103" t="s">
        <v>1</v>
      </c>
      <c r="C32" s="20" t="s">
        <v>99</v>
      </c>
      <c r="D32" s="20" t="s">
        <v>94</v>
      </c>
      <c r="E32" s="98">
        <f t="shared" ref="E32:E40" si="0">G32/1000</f>
        <v>0.93799999999999994</v>
      </c>
      <c r="F32" s="20" t="s">
        <v>97</v>
      </c>
      <c r="G32" s="20">
        <v>938</v>
      </c>
      <c r="H32" s="20" t="s">
        <v>79</v>
      </c>
      <c r="I32" s="104" t="s">
        <v>81</v>
      </c>
    </row>
    <row r="33" spans="2:9" x14ac:dyDescent="0.65">
      <c r="B33" s="103" t="s">
        <v>123</v>
      </c>
      <c r="C33" s="20" t="s">
        <v>99</v>
      </c>
      <c r="D33" s="20" t="s">
        <v>93</v>
      </c>
      <c r="E33" s="98">
        <f>E31+E35</f>
        <v>2.6142339999999997</v>
      </c>
      <c r="F33" s="20" t="s">
        <v>97</v>
      </c>
      <c r="G33" s="20">
        <v>2211</v>
      </c>
      <c r="H33" s="20" t="s">
        <v>79</v>
      </c>
      <c r="I33" s="104" t="s">
        <v>124</v>
      </c>
    </row>
    <row r="34" spans="2:9" x14ac:dyDescent="0.65">
      <c r="B34" s="103" t="s">
        <v>123</v>
      </c>
      <c r="C34" s="20" t="s">
        <v>99</v>
      </c>
      <c r="D34" s="20" t="s">
        <v>94</v>
      </c>
      <c r="E34" s="98">
        <f>E32+E35</f>
        <v>1.341234</v>
      </c>
      <c r="F34" s="20" t="s">
        <v>97</v>
      </c>
      <c r="G34" s="20">
        <v>938</v>
      </c>
      <c r="H34" s="20" t="s">
        <v>79</v>
      </c>
      <c r="I34" s="104" t="s">
        <v>125</v>
      </c>
    </row>
    <row r="35" spans="2:9" x14ac:dyDescent="0.65">
      <c r="B35" s="103" t="s">
        <v>122</v>
      </c>
      <c r="C35" s="20" t="s">
        <v>99</v>
      </c>
      <c r="D35" s="20" t="s">
        <v>99</v>
      </c>
      <c r="E35" s="98">
        <f>G35</f>
        <v>0.40323399999999998</v>
      </c>
      <c r="F35" s="20" t="s">
        <v>97</v>
      </c>
      <c r="G35" s="20">
        <v>0.40323399999999998</v>
      </c>
      <c r="H35" s="20" t="s">
        <v>97</v>
      </c>
      <c r="I35" s="104" t="s">
        <v>121</v>
      </c>
    </row>
    <row r="36" spans="2:9" x14ac:dyDescent="0.65">
      <c r="B36" s="103" t="s">
        <v>24</v>
      </c>
      <c r="C36" s="20" t="s">
        <v>99</v>
      </c>
      <c r="D36" s="20" t="s">
        <v>93</v>
      </c>
      <c r="E36" s="98">
        <f t="shared" si="0"/>
        <v>7.8029999999999999</v>
      </c>
      <c r="F36" s="20" t="s">
        <v>97</v>
      </c>
      <c r="G36" s="20">
        <v>7803</v>
      </c>
      <c r="H36" s="20" t="s">
        <v>79</v>
      </c>
      <c r="I36" s="104" t="s">
        <v>82</v>
      </c>
    </row>
    <row r="37" spans="2:9" x14ac:dyDescent="0.65">
      <c r="B37" s="103" t="s">
        <v>24</v>
      </c>
      <c r="C37" s="20" t="s">
        <v>99</v>
      </c>
      <c r="D37" s="20" t="s">
        <v>94</v>
      </c>
      <c r="E37" s="98">
        <f t="shared" si="0"/>
        <v>0.56200000000000006</v>
      </c>
      <c r="F37" s="20" t="s">
        <v>97</v>
      </c>
      <c r="G37" s="20">
        <v>562</v>
      </c>
      <c r="H37" s="20" t="s">
        <v>79</v>
      </c>
      <c r="I37" s="104" t="s">
        <v>83</v>
      </c>
    </row>
    <row r="38" spans="2:9" x14ac:dyDescent="0.65">
      <c r="B38" s="103" t="s">
        <v>41</v>
      </c>
      <c r="C38" s="20" t="s">
        <v>99</v>
      </c>
      <c r="D38" s="20" t="s">
        <v>93</v>
      </c>
      <c r="E38" s="115">
        <f t="shared" si="0"/>
        <v>3.6700000000000003E-2</v>
      </c>
      <c r="F38" s="20" t="s">
        <v>97</v>
      </c>
      <c r="G38" s="20">
        <v>36.700000000000003</v>
      </c>
      <c r="H38" s="20" t="s">
        <v>79</v>
      </c>
      <c r="I38" s="104" t="s">
        <v>84</v>
      </c>
    </row>
    <row r="39" spans="2:9" x14ac:dyDescent="0.65">
      <c r="B39" s="103" t="s">
        <v>2</v>
      </c>
      <c r="C39" s="20" t="s">
        <v>99</v>
      </c>
      <c r="D39" s="20" t="s">
        <v>93</v>
      </c>
      <c r="E39" s="98">
        <f t="shared" si="0"/>
        <v>2.2109999999999999</v>
      </c>
      <c r="F39" s="20" t="s">
        <v>97</v>
      </c>
      <c r="G39" s="20">
        <v>2211</v>
      </c>
      <c r="H39" s="20" t="s">
        <v>79</v>
      </c>
      <c r="I39" s="104" t="s">
        <v>80</v>
      </c>
    </row>
    <row r="40" spans="2:9" x14ac:dyDescent="0.65">
      <c r="B40" s="103" t="s">
        <v>2</v>
      </c>
      <c r="C40" s="20" t="s">
        <v>99</v>
      </c>
      <c r="D40" s="20" t="s">
        <v>94</v>
      </c>
      <c r="E40" s="98">
        <f t="shared" si="0"/>
        <v>0.93799999999999994</v>
      </c>
      <c r="F40" s="20" t="s">
        <v>97</v>
      </c>
      <c r="G40" s="20">
        <v>938</v>
      </c>
      <c r="H40" s="20" t="s">
        <v>79</v>
      </c>
      <c r="I40" s="104" t="s">
        <v>81</v>
      </c>
    </row>
    <row r="41" spans="2:9" x14ac:dyDescent="0.65">
      <c r="B41" s="103" t="s">
        <v>5</v>
      </c>
      <c r="C41" s="20" t="s">
        <v>44</v>
      </c>
      <c r="D41" s="20" t="s">
        <v>93</v>
      </c>
      <c r="E41" s="98">
        <f t="shared" ref="E41:E42" si="1">G41/1000</f>
        <v>2.09</v>
      </c>
      <c r="F41" s="20" t="s">
        <v>97</v>
      </c>
      <c r="G41" s="20">
        <v>2090</v>
      </c>
      <c r="H41" s="20" t="s">
        <v>79</v>
      </c>
      <c r="I41" s="104" t="s">
        <v>108</v>
      </c>
    </row>
    <row r="42" spans="2:9" x14ac:dyDescent="0.65">
      <c r="B42" s="103" t="s">
        <v>5</v>
      </c>
      <c r="C42" s="20" t="s">
        <v>44</v>
      </c>
      <c r="D42" s="20" t="s">
        <v>94</v>
      </c>
      <c r="E42" s="98">
        <f t="shared" si="1"/>
        <v>0.20200000000000001</v>
      </c>
      <c r="F42" s="20" t="s">
        <v>97</v>
      </c>
      <c r="G42" s="20">
        <v>202</v>
      </c>
      <c r="H42" s="20" t="s">
        <v>79</v>
      </c>
      <c r="I42" s="104" t="s">
        <v>109</v>
      </c>
    </row>
    <row r="43" spans="2:9" x14ac:dyDescent="0.65">
      <c r="B43" s="103" t="s">
        <v>5</v>
      </c>
      <c r="C43" s="20" t="s">
        <v>31</v>
      </c>
      <c r="D43" s="20" t="s">
        <v>93</v>
      </c>
      <c r="E43" s="98">
        <f t="shared" ref="E43:E49" si="2">G43/1000</f>
        <v>1.92</v>
      </c>
      <c r="F43" s="20" t="s">
        <v>97</v>
      </c>
      <c r="G43" s="20">
        <v>1920</v>
      </c>
      <c r="H43" s="20" t="s">
        <v>79</v>
      </c>
      <c r="I43" s="104" t="s">
        <v>110</v>
      </c>
    </row>
    <row r="44" spans="2:9" x14ac:dyDescent="0.65">
      <c r="B44" s="103" t="s">
        <v>5</v>
      </c>
      <c r="C44" s="20" t="s">
        <v>31</v>
      </c>
      <c r="D44" s="20" t="s">
        <v>94</v>
      </c>
      <c r="E44" s="98">
        <f t="shared" si="2"/>
        <v>0.20200000000000001</v>
      </c>
      <c r="F44" s="20" t="s">
        <v>97</v>
      </c>
      <c r="G44" s="20">
        <v>202</v>
      </c>
      <c r="H44" s="20" t="s">
        <v>79</v>
      </c>
      <c r="I44" s="104" t="s">
        <v>111</v>
      </c>
    </row>
    <row r="45" spans="2:9" x14ac:dyDescent="0.65">
      <c r="B45" s="103" t="s">
        <v>5</v>
      </c>
      <c r="C45" s="20" t="s">
        <v>30</v>
      </c>
      <c r="D45" s="20" t="s">
        <v>93</v>
      </c>
      <c r="E45" s="98">
        <f t="shared" si="2"/>
        <v>3.27</v>
      </c>
      <c r="F45" s="20" t="s">
        <v>97</v>
      </c>
      <c r="G45" s="20">
        <v>3270</v>
      </c>
      <c r="H45" s="20" t="s">
        <v>79</v>
      </c>
      <c r="I45" s="104" t="s">
        <v>112</v>
      </c>
    </row>
    <row r="46" spans="2:9" x14ac:dyDescent="0.65">
      <c r="B46" s="103" t="s">
        <v>5</v>
      </c>
      <c r="C46" s="20" t="s">
        <v>30</v>
      </c>
      <c r="D46" s="20" t="s">
        <v>94</v>
      </c>
      <c r="E46" s="98">
        <f t="shared" si="2"/>
        <v>0.20200000000000001</v>
      </c>
      <c r="F46" s="20" t="s">
        <v>97</v>
      </c>
      <c r="G46" s="20">
        <v>202</v>
      </c>
      <c r="H46" s="20" t="s">
        <v>79</v>
      </c>
      <c r="I46" s="104" t="s">
        <v>113</v>
      </c>
    </row>
    <row r="47" spans="2:9" x14ac:dyDescent="0.65">
      <c r="B47" s="103" t="s">
        <v>5</v>
      </c>
      <c r="C47" s="20" t="s">
        <v>33</v>
      </c>
      <c r="D47" s="20" t="s">
        <v>93</v>
      </c>
      <c r="E47" s="98">
        <f t="shared" si="2"/>
        <v>2</v>
      </c>
      <c r="F47" s="20" t="s">
        <v>97</v>
      </c>
      <c r="G47" s="20">
        <v>2000</v>
      </c>
      <c r="H47" s="20" t="s">
        <v>79</v>
      </c>
      <c r="I47" s="104" t="s">
        <v>117</v>
      </c>
    </row>
    <row r="48" spans="2:9" x14ac:dyDescent="0.65">
      <c r="B48" s="103" t="s">
        <v>5</v>
      </c>
      <c r="C48" s="20" t="s">
        <v>32</v>
      </c>
      <c r="D48" s="20" t="s">
        <v>93</v>
      </c>
      <c r="E48" s="98">
        <f t="shared" si="2"/>
        <v>1.87</v>
      </c>
      <c r="F48" s="20" t="s">
        <v>97</v>
      </c>
      <c r="G48" s="20">
        <v>1870</v>
      </c>
      <c r="H48" s="20" t="s">
        <v>79</v>
      </c>
      <c r="I48" s="104" t="s">
        <v>114</v>
      </c>
    </row>
    <row r="49" spans="2:9" x14ac:dyDescent="0.65">
      <c r="B49" s="103" t="s">
        <v>5</v>
      </c>
      <c r="C49" s="20" t="s">
        <v>32</v>
      </c>
      <c r="D49" s="20" t="s">
        <v>94</v>
      </c>
      <c r="E49" s="98">
        <f t="shared" si="2"/>
        <v>0.40300000000000002</v>
      </c>
      <c r="F49" s="20" t="s">
        <v>97</v>
      </c>
      <c r="G49" s="20">
        <v>403</v>
      </c>
      <c r="H49" s="20" t="s">
        <v>79</v>
      </c>
      <c r="I49" s="104" t="s">
        <v>115</v>
      </c>
    </row>
    <row r="50" spans="2:9" x14ac:dyDescent="0.65">
      <c r="B50" s="103" t="s">
        <v>5</v>
      </c>
      <c r="C50" s="20" t="s">
        <v>116</v>
      </c>
      <c r="D50" s="20" t="s">
        <v>93</v>
      </c>
      <c r="E50" s="98">
        <f t="shared" ref="E50:E55" si="3">G50/1000</f>
        <v>2.383</v>
      </c>
      <c r="F50" s="20" t="s">
        <v>97</v>
      </c>
      <c r="G50" s="20">
        <v>2383</v>
      </c>
      <c r="H50" s="20" t="s">
        <v>79</v>
      </c>
      <c r="I50" s="104" t="s">
        <v>118</v>
      </c>
    </row>
    <row r="51" spans="2:9" x14ac:dyDescent="0.65">
      <c r="B51" s="103" t="s">
        <v>5</v>
      </c>
      <c r="C51" s="20" t="s">
        <v>116</v>
      </c>
      <c r="D51" s="20" t="s">
        <v>94</v>
      </c>
      <c r="E51" s="98">
        <f t="shared" si="3"/>
        <v>0.20200000000000001</v>
      </c>
      <c r="F51" s="20" t="s">
        <v>97</v>
      </c>
      <c r="G51" s="20">
        <v>202</v>
      </c>
      <c r="H51" s="20" t="s">
        <v>79</v>
      </c>
      <c r="I51" s="104" t="s">
        <v>119</v>
      </c>
    </row>
    <row r="52" spans="2:9" x14ac:dyDescent="0.65">
      <c r="B52" s="103" t="s">
        <v>4</v>
      </c>
      <c r="C52" s="20" t="s">
        <v>99</v>
      </c>
      <c r="D52" s="20" t="s">
        <v>93</v>
      </c>
      <c r="E52" s="98">
        <f t="shared" si="3"/>
        <v>0.92300000000000004</v>
      </c>
      <c r="F52" s="20" t="s">
        <v>97</v>
      </c>
      <c r="G52" s="20">
        <v>923</v>
      </c>
      <c r="H52" s="20" t="s">
        <v>79</v>
      </c>
      <c r="I52" s="104" t="s">
        <v>126</v>
      </c>
    </row>
    <row r="53" spans="2:9" x14ac:dyDescent="0.65">
      <c r="B53" s="103" t="s">
        <v>4</v>
      </c>
      <c r="C53" s="20" t="s">
        <v>99</v>
      </c>
      <c r="D53" s="20" t="s">
        <v>94</v>
      </c>
      <c r="E53" s="98">
        <f t="shared" si="3"/>
        <v>0.40899999999999997</v>
      </c>
      <c r="F53" s="20" t="s">
        <v>97</v>
      </c>
      <c r="G53" s="20">
        <v>409</v>
      </c>
      <c r="H53" s="20" t="s">
        <v>79</v>
      </c>
      <c r="I53" s="104" t="s">
        <v>127</v>
      </c>
    </row>
    <row r="54" spans="2:9" x14ac:dyDescent="0.65">
      <c r="B54" s="103" t="s">
        <v>47</v>
      </c>
      <c r="C54" s="20" t="s">
        <v>99</v>
      </c>
      <c r="D54" s="20" t="s">
        <v>93</v>
      </c>
      <c r="E54" s="98">
        <f t="shared" si="3"/>
        <v>1.4450000000000001</v>
      </c>
      <c r="F54" s="20" t="s">
        <v>97</v>
      </c>
      <c r="G54" s="20">
        <v>1445</v>
      </c>
      <c r="H54" s="20" t="s">
        <v>79</v>
      </c>
      <c r="I54" s="104" t="s">
        <v>128</v>
      </c>
    </row>
    <row r="55" spans="2:9" x14ac:dyDescent="0.65">
      <c r="B55" s="103" t="s">
        <v>47</v>
      </c>
      <c r="C55" s="20" t="s">
        <v>99</v>
      </c>
      <c r="D55" s="20" t="s">
        <v>94</v>
      </c>
      <c r="E55" s="98">
        <f t="shared" si="3"/>
        <v>1.304</v>
      </c>
      <c r="F55" s="20" t="s">
        <v>97</v>
      </c>
      <c r="G55" s="20">
        <v>1304</v>
      </c>
      <c r="H55" s="20" t="s">
        <v>79</v>
      </c>
      <c r="I55" s="104" t="s">
        <v>129</v>
      </c>
    </row>
    <row r="56" spans="2:9" x14ac:dyDescent="0.65">
      <c r="B56" s="103" t="s">
        <v>130</v>
      </c>
      <c r="C56" s="20" t="s">
        <v>99</v>
      </c>
      <c r="D56" s="20" t="s">
        <v>99</v>
      </c>
      <c r="E56" s="98">
        <f>G56</f>
        <v>30.786107999999999</v>
      </c>
      <c r="F56" s="20" t="s">
        <v>97</v>
      </c>
      <c r="G56" s="20">
        <v>30.786107999999999</v>
      </c>
      <c r="H56" s="20" t="s">
        <v>97</v>
      </c>
      <c r="I56" s="104" t="s">
        <v>146</v>
      </c>
    </row>
    <row r="57" spans="2:9" x14ac:dyDescent="0.65">
      <c r="B57" s="103" t="s">
        <v>133</v>
      </c>
      <c r="C57" s="20" t="s">
        <v>99</v>
      </c>
      <c r="D57" s="20" t="s">
        <v>99</v>
      </c>
      <c r="E57" s="98">
        <f>G57*$C$6</f>
        <v>0.12463974000000001</v>
      </c>
      <c r="F57" s="20" t="s">
        <v>134</v>
      </c>
      <c r="G57" s="20">
        <v>249.27948000000001</v>
      </c>
      <c r="H57" s="20" t="s">
        <v>97</v>
      </c>
      <c r="I57" s="104" t="s">
        <v>145</v>
      </c>
    </row>
    <row r="58" spans="2:9" x14ac:dyDescent="0.65">
      <c r="B58" s="103" t="s">
        <v>137</v>
      </c>
      <c r="C58" s="20" t="s">
        <v>99</v>
      </c>
      <c r="D58" s="20" t="s">
        <v>99</v>
      </c>
      <c r="E58" s="98">
        <f>$G$58/C7</f>
        <v>18.325945945945943</v>
      </c>
      <c r="F58" s="20" t="s">
        <v>97</v>
      </c>
      <c r="G58" s="99">
        <v>339.03</v>
      </c>
      <c r="H58" s="20" t="s">
        <v>140</v>
      </c>
      <c r="I58" s="104" t="s">
        <v>139</v>
      </c>
    </row>
    <row r="59" spans="2:9" x14ac:dyDescent="0.65">
      <c r="B59" s="103" t="s">
        <v>144</v>
      </c>
      <c r="C59" s="20" t="s">
        <v>99</v>
      </c>
      <c r="D59" s="20" t="s">
        <v>99</v>
      </c>
      <c r="E59" s="98">
        <f>G59</f>
        <v>7.3886999999999994E-2</v>
      </c>
      <c r="F59" s="20" t="s">
        <v>143</v>
      </c>
      <c r="G59" s="20">
        <v>7.3886999999999994E-2</v>
      </c>
      <c r="H59" s="20" t="s">
        <v>143</v>
      </c>
      <c r="I59" s="104" t="s">
        <v>142</v>
      </c>
    </row>
    <row r="60" spans="2:9" x14ac:dyDescent="0.65">
      <c r="B60" s="103" t="s">
        <v>50</v>
      </c>
      <c r="C60" s="20" t="s">
        <v>99</v>
      </c>
      <c r="D60" s="20" t="s">
        <v>99</v>
      </c>
      <c r="E60" s="98">
        <f>G60</f>
        <v>30.235293800470359</v>
      </c>
      <c r="F60" s="20" t="s">
        <v>97</v>
      </c>
      <c r="G60" s="20">
        <v>30.235293800470359</v>
      </c>
      <c r="H60" s="20" t="s">
        <v>97</v>
      </c>
      <c r="I60" s="104" t="s">
        <v>248</v>
      </c>
    </row>
    <row r="61" spans="2:9" x14ac:dyDescent="0.65">
      <c r="B61" s="103" t="s">
        <v>253</v>
      </c>
      <c r="C61" s="20" t="s">
        <v>99</v>
      </c>
      <c r="D61" s="20" t="s">
        <v>99</v>
      </c>
      <c r="E61" s="98">
        <f>G61</f>
        <v>9.6467221906390961</v>
      </c>
      <c r="F61" s="20" t="s">
        <v>97</v>
      </c>
      <c r="G61" s="20">
        <v>9.6467221906390961</v>
      </c>
      <c r="H61" s="20" t="s">
        <v>97</v>
      </c>
      <c r="I61" s="104" t="s">
        <v>249</v>
      </c>
    </row>
    <row r="62" spans="2:9" x14ac:dyDescent="0.65">
      <c r="B62" s="103" t="s">
        <v>49</v>
      </c>
      <c r="C62" s="20" t="s">
        <v>99</v>
      </c>
      <c r="D62" s="20" t="s">
        <v>99</v>
      </c>
      <c r="E62" s="98">
        <f t="shared" ref="E62:E66" si="4">G62</f>
        <v>15.8379350658718</v>
      </c>
      <c r="F62" s="20" t="s">
        <v>97</v>
      </c>
      <c r="G62" s="20">
        <v>15.8379350658718</v>
      </c>
      <c r="H62" s="20" t="s">
        <v>97</v>
      </c>
      <c r="I62" s="105" t="s">
        <v>244</v>
      </c>
    </row>
    <row r="63" spans="2:9" x14ac:dyDescent="0.65">
      <c r="B63" s="103" t="s">
        <v>51</v>
      </c>
      <c r="C63" s="20" t="s">
        <v>99</v>
      </c>
      <c r="D63" s="20" t="s">
        <v>99</v>
      </c>
      <c r="E63" s="98">
        <f t="shared" si="4"/>
        <v>16.903287007004021</v>
      </c>
      <c r="F63" s="20" t="s">
        <v>97</v>
      </c>
      <c r="G63" s="20">
        <v>16.903287007004021</v>
      </c>
      <c r="H63" s="20" t="s">
        <v>97</v>
      </c>
      <c r="I63" s="104" t="s">
        <v>243</v>
      </c>
    </row>
    <row r="64" spans="2:9" x14ac:dyDescent="0.65">
      <c r="B64" s="103" t="s">
        <v>52</v>
      </c>
      <c r="C64" s="20" t="s">
        <v>99</v>
      </c>
      <c r="D64" s="20" t="s">
        <v>99</v>
      </c>
      <c r="E64" s="98">
        <f t="shared" si="4"/>
        <v>7.0924985310253259</v>
      </c>
      <c r="F64" s="20" t="s">
        <v>97</v>
      </c>
      <c r="G64" s="20">
        <v>7.0924985310253259</v>
      </c>
      <c r="H64" s="20" t="s">
        <v>97</v>
      </c>
      <c r="I64" s="104" t="s">
        <v>246</v>
      </c>
    </row>
    <row r="65" spans="2:9" x14ac:dyDescent="0.65">
      <c r="B65" s="103" t="s">
        <v>48</v>
      </c>
      <c r="C65" s="20" t="s">
        <v>99</v>
      </c>
      <c r="D65" s="20" t="s">
        <v>99</v>
      </c>
      <c r="E65" s="98">
        <f t="shared" si="4"/>
        <v>18.97589641002163</v>
      </c>
      <c r="F65" s="20" t="s">
        <v>97</v>
      </c>
      <c r="G65" s="20">
        <v>18.97589641002163</v>
      </c>
      <c r="H65" s="20" t="s">
        <v>97</v>
      </c>
      <c r="I65" s="104" t="s">
        <v>245</v>
      </c>
    </row>
    <row r="66" spans="2:9" x14ac:dyDescent="0.65">
      <c r="B66" s="103" t="s">
        <v>161</v>
      </c>
      <c r="C66" s="20" t="s">
        <v>99</v>
      </c>
      <c r="D66" s="20" t="s">
        <v>99</v>
      </c>
      <c r="E66" s="98">
        <f t="shared" si="4"/>
        <v>16.448605500838706</v>
      </c>
      <c r="F66" s="20" t="s">
        <v>97</v>
      </c>
      <c r="G66" s="20">
        <f>AVERAGE(G60:G65)</f>
        <v>16.448605500838706</v>
      </c>
      <c r="H66" s="20" t="s">
        <v>97</v>
      </c>
      <c r="I66" s="104" t="s">
        <v>247</v>
      </c>
    </row>
    <row r="67" spans="2:9" x14ac:dyDescent="0.65">
      <c r="B67" s="103" t="s">
        <v>53</v>
      </c>
      <c r="C67" s="20" t="s">
        <v>99</v>
      </c>
      <c r="D67" s="20" t="s">
        <v>99</v>
      </c>
      <c r="E67" s="98">
        <f>G67</f>
        <v>82.449892000000006</v>
      </c>
      <c r="F67" s="20" t="s">
        <v>140</v>
      </c>
      <c r="G67" s="20">
        <v>82.449892000000006</v>
      </c>
      <c r="H67" s="20" t="s">
        <v>140</v>
      </c>
      <c r="I67" s="104" t="s">
        <v>150</v>
      </c>
    </row>
    <row r="68" spans="2:9" x14ac:dyDescent="0.65">
      <c r="B68" s="103" t="s">
        <v>54</v>
      </c>
      <c r="C68" s="20" t="s">
        <v>99</v>
      </c>
      <c r="D68" s="20" t="s">
        <v>99</v>
      </c>
      <c r="E68" s="98">
        <f t="shared" ref="E68:E75" si="5">G68</f>
        <v>183.65630999999999</v>
      </c>
      <c r="F68" s="20" t="s">
        <v>140</v>
      </c>
      <c r="G68" s="20">
        <v>183.65630999999999</v>
      </c>
      <c r="H68" s="20" t="s">
        <v>140</v>
      </c>
      <c r="I68" s="104" t="s">
        <v>151</v>
      </c>
    </row>
    <row r="69" spans="2:9" x14ac:dyDescent="0.65">
      <c r="B69" s="103" t="s">
        <v>58</v>
      </c>
      <c r="C69" s="20" t="s">
        <v>99</v>
      </c>
      <c r="D69" s="20" t="s">
        <v>99</v>
      </c>
      <c r="E69" s="98">
        <f t="shared" si="5"/>
        <v>225.73859999999999</v>
      </c>
      <c r="F69" s="20" t="s">
        <v>140</v>
      </c>
      <c r="G69" s="20">
        <v>225.73859999999999</v>
      </c>
      <c r="H69" s="20" t="s">
        <v>140</v>
      </c>
      <c r="I69" s="104" t="s">
        <v>152</v>
      </c>
    </row>
    <row r="70" spans="2:9" x14ac:dyDescent="0.65">
      <c r="B70" s="103" t="s">
        <v>55</v>
      </c>
      <c r="C70" s="20" t="s">
        <v>99</v>
      </c>
      <c r="D70" s="20" t="s">
        <v>99</v>
      </c>
      <c r="E70" s="98">
        <f t="shared" si="5"/>
        <v>48.797806999999999</v>
      </c>
      <c r="F70" s="20" t="s">
        <v>140</v>
      </c>
      <c r="G70" s="20">
        <v>48.797806999999999</v>
      </c>
      <c r="H70" s="20" t="s">
        <v>140</v>
      </c>
      <c r="I70" s="104" t="s">
        <v>153</v>
      </c>
    </row>
    <row r="71" spans="2:9" x14ac:dyDescent="0.65">
      <c r="B71" s="103" t="s">
        <v>56</v>
      </c>
      <c r="C71" s="20" t="s">
        <v>99</v>
      </c>
      <c r="D71" s="20" t="s">
        <v>99</v>
      </c>
      <c r="E71" s="98">
        <f t="shared" si="5"/>
        <v>64.111068000000003</v>
      </c>
      <c r="F71" s="20" t="s">
        <v>140</v>
      </c>
      <c r="G71" s="20">
        <v>64.111068000000003</v>
      </c>
      <c r="H71" s="20" t="s">
        <v>140</v>
      </c>
      <c r="I71" s="104" t="s">
        <v>154</v>
      </c>
    </row>
    <row r="72" spans="2:9" x14ac:dyDescent="0.65">
      <c r="B72" s="103" t="s">
        <v>57</v>
      </c>
      <c r="C72" s="20" t="s">
        <v>99</v>
      </c>
      <c r="D72" s="20" t="s">
        <v>99</v>
      </c>
      <c r="E72" s="98">
        <f t="shared" si="5"/>
        <v>107.3921</v>
      </c>
      <c r="F72" s="20" t="s">
        <v>140</v>
      </c>
      <c r="G72" s="20">
        <v>107.3921</v>
      </c>
      <c r="H72" s="20" t="s">
        <v>140</v>
      </c>
      <c r="I72" s="104" t="s">
        <v>155</v>
      </c>
    </row>
    <row r="73" spans="2:9" x14ac:dyDescent="0.65">
      <c r="B73" s="103" t="s">
        <v>59</v>
      </c>
      <c r="C73" s="20" t="s">
        <v>99</v>
      </c>
      <c r="D73" s="20" t="s">
        <v>99</v>
      </c>
      <c r="E73" s="98">
        <f t="shared" si="5"/>
        <v>177.66515999999999</v>
      </c>
      <c r="F73" s="20" t="s">
        <v>140</v>
      </c>
      <c r="G73" s="20">
        <v>177.66515999999999</v>
      </c>
      <c r="H73" s="20" t="s">
        <v>140</v>
      </c>
      <c r="I73" s="104" t="s">
        <v>156</v>
      </c>
    </row>
    <row r="74" spans="2:9" x14ac:dyDescent="0.65">
      <c r="B74" s="103" t="s">
        <v>60</v>
      </c>
      <c r="C74" s="20" t="s">
        <v>99</v>
      </c>
      <c r="D74" s="20" t="s">
        <v>99</v>
      </c>
      <c r="E74" s="98">
        <f t="shared" si="5"/>
        <v>239.06433999999999</v>
      </c>
      <c r="F74" s="20" t="s">
        <v>140</v>
      </c>
      <c r="G74" s="20">
        <v>239.06433999999999</v>
      </c>
      <c r="H74" s="20" t="s">
        <v>140</v>
      </c>
      <c r="I74" s="104" t="s">
        <v>157</v>
      </c>
    </row>
    <row r="75" spans="2:9" x14ac:dyDescent="0.65">
      <c r="B75" s="103" t="s">
        <v>61</v>
      </c>
      <c r="C75" s="20" t="s">
        <v>99</v>
      </c>
      <c r="D75" s="20" t="s">
        <v>99</v>
      </c>
      <c r="E75" s="98">
        <f t="shared" si="5"/>
        <v>140.21250000000001</v>
      </c>
      <c r="F75" s="20" t="s">
        <v>140</v>
      </c>
      <c r="G75" s="20">
        <v>140.21250000000001</v>
      </c>
      <c r="H75" s="20" t="s">
        <v>140</v>
      </c>
      <c r="I75" s="104" t="s">
        <v>158</v>
      </c>
    </row>
    <row r="76" spans="2:9" x14ac:dyDescent="0.65">
      <c r="B76" s="103" t="s">
        <v>162</v>
      </c>
      <c r="C76" s="20" t="s">
        <v>99</v>
      </c>
      <c r="D76" s="20" t="s">
        <v>99</v>
      </c>
      <c r="E76" s="98">
        <f t="shared" ref="E76:E77" si="6">G76</f>
        <v>141.00975300000002</v>
      </c>
      <c r="F76" s="20" t="s">
        <v>140</v>
      </c>
      <c r="G76" s="20">
        <f>AVERAGE(G67:G75)</f>
        <v>141.00975300000002</v>
      </c>
      <c r="H76" s="20" t="s">
        <v>140</v>
      </c>
      <c r="I76" s="104" t="s">
        <v>160</v>
      </c>
    </row>
    <row r="77" spans="2:9" x14ac:dyDescent="0.65">
      <c r="B77" s="103" t="s">
        <v>62</v>
      </c>
      <c r="C77" s="20" t="s">
        <v>99</v>
      </c>
      <c r="D77" s="20" t="s">
        <v>99</v>
      </c>
      <c r="E77" s="98">
        <f t="shared" si="6"/>
        <v>87.4</v>
      </c>
      <c r="F77" s="20" t="s">
        <v>164</v>
      </c>
      <c r="G77" s="20">
        <v>87.4</v>
      </c>
      <c r="H77" s="20" t="s">
        <v>164</v>
      </c>
      <c r="I77" s="104" t="s">
        <v>163</v>
      </c>
    </row>
    <row r="78" spans="2:9" x14ac:dyDescent="0.65">
      <c r="B78" s="103" t="s">
        <v>167</v>
      </c>
      <c r="C78" s="20" t="s">
        <v>99</v>
      </c>
      <c r="D78" s="20" t="s">
        <v>99</v>
      </c>
      <c r="E78" s="100">
        <f>G78/C8</f>
        <v>32.370370370370374</v>
      </c>
      <c r="F78" s="20" t="s">
        <v>97</v>
      </c>
      <c r="G78" s="20">
        <v>87.4</v>
      </c>
      <c r="H78" s="20" t="s">
        <v>164</v>
      </c>
      <c r="I78" s="104" t="s">
        <v>168</v>
      </c>
    </row>
    <row r="79" spans="2:9" x14ac:dyDescent="0.65">
      <c r="B79" s="103" t="s">
        <v>204</v>
      </c>
      <c r="C79" s="20" t="s">
        <v>99</v>
      </c>
      <c r="D79" s="20" t="s">
        <v>99</v>
      </c>
      <c r="E79" s="20">
        <f>G79</f>
        <v>5.2040000000000003E-2</v>
      </c>
      <c r="F79" s="20" t="s">
        <v>172</v>
      </c>
      <c r="G79" s="20">
        <v>5.2040000000000003E-2</v>
      </c>
      <c r="H79" s="20" t="s">
        <v>172</v>
      </c>
      <c r="I79" s="104" t="s">
        <v>173</v>
      </c>
    </row>
    <row r="80" spans="2:9" x14ac:dyDescent="0.65">
      <c r="B80" s="103" t="s">
        <v>205</v>
      </c>
      <c r="C80" s="20" t="s">
        <v>99</v>
      </c>
      <c r="D80" s="20" t="s">
        <v>99</v>
      </c>
      <c r="E80" s="20">
        <f>G80</f>
        <v>5.2040000000000003E-2</v>
      </c>
      <c r="F80" s="20" t="s">
        <v>172</v>
      </c>
      <c r="G80" s="20">
        <v>5.2040000000000003E-2</v>
      </c>
      <c r="H80" s="20" t="s">
        <v>172</v>
      </c>
      <c r="I80" s="104" t="s">
        <v>173</v>
      </c>
    </row>
    <row r="81" spans="2:9" x14ac:dyDescent="0.65">
      <c r="B81" s="103" t="s">
        <v>174</v>
      </c>
      <c r="C81" s="20" t="s">
        <v>99</v>
      </c>
      <c r="D81" s="20" t="s">
        <v>175</v>
      </c>
      <c r="E81" s="20">
        <f>G81</f>
        <v>3.2685501966102391E-2</v>
      </c>
      <c r="F81" s="20" t="s">
        <v>172</v>
      </c>
      <c r="G81" s="20">
        <v>3.2685501966102391E-2</v>
      </c>
      <c r="H81" s="20" t="s">
        <v>172</v>
      </c>
      <c r="I81" s="104" t="s">
        <v>206</v>
      </c>
    </row>
    <row r="82" spans="2:9" ht="20.399999999999999" thickBot="1" x14ac:dyDescent="0.7">
      <c r="B82" s="106" t="s">
        <v>174</v>
      </c>
      <c r="C82" s="107" t="s">
        <v>99</v>
      </c>
      <c r="D82" s="107" t="s">
        <v>176</v>
      </c>
      <c r="E82" s="107">
        <f>G82</f>
        <v>3.2685501966102391E-2</v>
      </c>
      <c r="F82" s="107" t="s">
        <v>172</v>
      </c>
      <c r="G82" s="107">
        <v>3.2685501966102391E-2</v>
      </c>
      <c r="H82" s="107" t="s">
        <v>172</v>
      </c>
      <c r="I82" s="192" t="s">
        <v>206</v>
      </c>
    </row>
  </sheetData>
  <sheetProtection algorithmName="SHA-512" hashValue="RnUuC4foh8RGpxo3tMd+sM28ukBg5hIjLBBckn/X9sDKWBI8+vdlPOt0VBVqMrXuIwEuzzbqdlDlA/Jx783+2w==" saltValue="lBZEe2oZbA/LX8CICuwwOQ==" spinCount="100000" sheet="1" formatCells="0" formatColumns="0" formatRows="0" insertColumns="0" insertRows="0" insertHyperlinks="0" deleteColumns="0" deleteRows="0" sort="0" autoFilter="0" pivotTables="0"/>
  <mergeCells count="3">
    <mergeCell ref="G29:I29"/>
    <mergeCell ref="E29:F29"/>
    <mergeCell ref="B29:D29"/>
  </mergeCells>
  <phoneticPr fontId="19" type="noConversion"/>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8FFBF-5B44-42C4-9489-10E625FC89BF}">
  <sheetPr>
    <tabColor theme="2" tint="0.249977111117893"/>
  </sheetPr>
  <dimension ref="B2:J15"/>
  <sheetViews>
    <sheetView workbookViewId="0">
      <selection activeCell="F21" sqref="F21"/>
    </sheetView>
  </sheetViews>
  <sheetFormatPr baseColWidth="10" defaultRowHeight="19.8" x14ac:dyDescent="0.65"/>
  <cols>
    <col min="1" max="1" width="11.19921875" style="1"/>
    <col min="2" max="2" width="12.5" style="1" customWidth="1"/>
    <col min="3" max="3" width="15" style="1" bestFit="1" customWidth="1"/>
    <col min="4" max="4" width="24.5" style="1" bestFit="1" customWidth="1"/>
    <col min="5" max="5" width="25.09765625" style="1" bestFit="1" customWidth="1"/>
    <col min="6" max="6" width="20.59765625" style="1" bestFit="1" customWidth="1"/>
    <col min="7" max="7" width="25.19921875" style="1" bestFit="1" customWidth="1"/>
    <col min="8" max="8" width="46.296875" style="1" bestFit="1" customWidth="1"/>
    <col min="9" max="9" width="57.3984375" style="1" bestFit="1" customWidth="1"/>
    <col min="10" max="10" width="21.69921875" style="1" bestFit="1" customWidth="1"/>
    <col min="11" max="11" width="11.19921875" style="1" customWidth="1"/>
    <col min="12" max="16384" width="11.19921875" style="1"/>
  </cols>
  <sheetData>
    <row r="2" spans="2:10" s="16" customFormat="1" ht="25.8" x14ac:dyDescent="0.85">
      <c r="B2" s="17" t="s">
        <v>76</v>
      </c>
    </row>
    <row r="4" spans="2:10" x14ac:dyDescent="0.65">
      <c r="B4" s="21" t="s">
        <v>28</v>
      </c>
      <c r="C4" s="21" t="s">
        <v>74</v>
      </c>
      <c r="D4" s="21" t="s">
        <v>75</v>
      </c>
      <c r="E4" s="22" t="s">
        <v>45</v>
      </c>
      <c r="F4" s="22" t="s">
        <v>29</v>
      </c>
      <c r="G4" s="22" t="s">
        <v>46</v>
      </c>
      <c r="H4" s="23" t="s">
        <v>38</v>
      </c>
      <c r="I4" s="23" t="s">
        <v>39</v>
      </c>
      <c r="J4" s="23" t="s">
        <v>6</v>
      </c>
    </row>
    <row r="5" spans="2:10" x14ac:dyDescent="0.65">
      <c r="B5" s="20" t="s">
        <v>1</v>
      </c>
      <c r="C5" s="20" t="s">
        <v>1</v>
      </c>
      <c r="D5" s="20" t="s">
        <v>1</v>
      </c>
      <c r="E5" s="20" t="s">
        <v>5</v>
      </c>
      <c r="F5" s="20" t="s">
        <v>44</v>
      </c>
      <c r="G5" s="20" t="s">
        <v>1</v>
      </c>
      <c r="H5" s="20" t="s">
        <v>253</v>
      </c>
      <c r="I5" s="20" t="s">
        <v>53</v>
      </c>
      <c r="J5" s="20" t="s">
        <v>62</v>
      </c>
    </row>
    <row r="6" spans="2:10" x14ac:dyDescent="0.65">
      <c r="B6" s="20" t="s">
        <v>123</v>
      </c>
      <c r="C6" s="20" t="s">
        <v>123</v>
      </c>
      <c r="D6" s="20" t="s">
        <v>123</v>
      </c>
      <c r="E6" s="20" t="s">
        <v>4</v>
      </c>
      <c r="F6" s="20" t="s">
        <v>31</v>
      </c>
      <c r="G6" s="20" t="s">
        <v>123</v>
      </c>
      <c r="H6" s="20" t="s">
        <v>250</v>
      </c>
      <c r="I6" s="20" t="s">
        <v>54</v>
      </c>
      <c r="J6" s="20" t="s">
        <v>167</v>
      </c>
    </row>
    <row r="7" spans="2:10" x14ac:dyDescent="0.65">
      <c r="B7" s="20" t="s">
        <v>24</v>
      </c>
      <c r="C7" s="20" t="s">
        <v>24</v>
      </c>
      <c r="D7" s="20" t="s">
        <v>24</v>
      </c>
      <c r="F7" s="20" t="s">
        <v>30</v>
      </c>
      <c r="G7" s="20" t="s">
        <v>24</v>
      </c>
      <c r="H7" s="20" t="s">
        <v>251</v>
      </c>
      <c r="I7" s="20" t="s">
        <v>58</v>
      </c>
    </row>
    <row r="8" spans="2:10" x14ac:dyDescent="0.65">
      <c r="B8" s="20" t="s">
        <v>41</v>
      </c>
      <c r="C8" s="20" t="s">
        <v>2</v>
      </c>
      <c r="D8" s="20" t="s">
        <v>2</v>
      </c>
      <c r="F8" s="20" t="s">
        <v>33</v>
      </c>
      <c r="G8" s="20" t="s">
        <v>47</v>
      </c>
      <c r="H8" s="20" t="s">
        <v>252</v>
      </c>
      <c r="I8" s="20" t="s">
        <v>55</v>
      </c>
    </row>
    <row r="9" spans="2:10" x14ac:dyDescent="0.65">
      <c r="B9" s="20" t="s">
        <v>2</v>
      </c>
      <c r="F9" s="20" t="s">
        <v>32</v>
      </c>
      <c r="G9" s="20" t="s">
        <v>2</v>
      </c>
      <c r="H9" s="20" t="s">
        <v>52</v>
      </c>
      <c r="I9" s="20" t="s">
        <v>56</v>
      </c>
    </row>
    <row r="10" spans="2:10" x14ac:dyDescent="0.65">
      <c r="F10" s="20" t="s">
        <v>116</v>
      </c>
      <c r="G10" s="20" t="s">
        <v>5</v>
      </c>
      <c r="H10" s="20" t="s">
        <v>50</v>
      </c>
      <c r="I10" s="20" t="s">
        <v>57</v>
      </c>
    </row>
    <row r="11" spans="2:10" x14ac:dyDescent="0.65">
      <c r="H11" s="20" t="s">
        <v>161</v>
      </c>
      <c r="I11" s="20" t="s">
        <v>59</v>
      </c>
    </row>
    <row r="12" spans="2:10" x14ac:dyDescent="0.65">
      <c r="H12" s="20" t="s">
        <v>148</v>
      </c>
      <c r="I12" s="20" t="s">
        <v>60</v>
      </c>
    </row>
    <row r="13" spans="2:10" x14ac:dyDescent="0.65">
      <c r="I13" s="20" t="s">
        <v>61</v>
      </c>
    </row>
    <row r="14" spans="2:10" x14ac:dyDescent="0.65">
      <c r="I14" s="20" t="s">
        <v>148</v>
      </c>
    </row>
    <row r="15" spans="2:10" x14ac:dyDescent="0.65">
      <c r="I15" s="20" t="s">
        <v>162</v>
      </c>
    </row>
  </sheetData>
  <sheetProtection algorithmName="SHA-512" hashValue="3OTMKZDcjtgEj6i2kTkRvCcWJQUhoA+4H8YhpgTRQ1Y7fJVgrKifR/9y3G9EZ7/kJjy5ohLo8c6BmTLogYPVMQ==" saltValue="efBCvjk0HFUSBJniNJxmzg==" spinCount="100000" sheet="1" formatCells="0" formatColumns="0" formatRows="0" insertColumns="0" insertRows="0" insertHyperlinks="0" deleteColumns="0" deleteRows="0" sort="0" autoFilter="0" pivotTables="0"/>
  <sortState xmlns:xlrd2="http://schemas.microsoft.com/office/spreadsheetml/2017/richdata2" ref="H6:H12">
    <sortCondition ref="H6:H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A7D22E2F1DC740870E65B3BE4D1C23" ma:contentTypeVersion="19" ma:contentTypeDescription="Crée un document." ma:contentTypeScope="" ma:versionID="f1821ba7819aeab3fd665d5e03ccb3d4">
  <xsd:schema xmlns:xsd="http://www.w3.org/2001/XMLSchema" xmlns:xs="http://www.w3.org/2001/XMLSchema" xmlns:p="http://schemas.microsoft.com/office/2006/metadata/properties" xmlns:ns1="http://schemas.microsoft.com/sharepoint/v3" xmlns:ns2="582f6fb8-bde5-4acc-8219-3bdfd0d6dd64" xmlns:ns3="93dc234a-e45f-4d1a-a6ee-96464a41fb40" targetNamespace="http://schemas.microsoft.com/office/2006/metadata/properties" ma:root="true" ma:fieldsID="3a0a978e24493897dd0ddf5844579d2b" ns1:_="" ns2:_="" ns3:_="">
    <xsd:import namespace="http://schemas.microsoft.com/sharepoint/v3"/>
    <xsd:import namespace="582f6fb8-bde5-4acc-8219-3bdfd0d6dd64"/>
    <xsd:import namespace="93dc234a-e45f-4d1a-a6ee-96464a41fb4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1:PublishingStartDate" minOccurs="0"/>
                <xsd:element ref="ns1:PublishingExpirationDate"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16"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2f6fb8-bde5-4acc-8219-3bdfd0d6dd64"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TaxCatchAll" ma:index="25" nillable="true" ma:displayName="Taxonomy Catch All Column" ma:hidden="true" ma:list="{bfe344ae-aa6c-47de-a604-df7592b26203}" ma:internalName="TaxCatchAll" ma:showField="CatchAllData" ma:web="582f6fb8-bde5-4acc-8219-3bdfd0d6dd6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dc234a-e45f-4d1a-a6ee-96464a41fb4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02d9ab48-5be9-419a-b7eb-d95670d042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93dc234a-e45f-4d1a-a6ee-96464a41fb40">
      <Terms xmlns="http://schemas.microsoft.com/office/infopath/2007/PartnerControls"/>
    </lcf76f155ced4ddcb4097134ff3c332f>
    <TaxCatchAll xmlns="582f6fb8-bde5-4acc-8219-3bdfd0d6dd64" xsi:nil="true"/>
    <PublishingExpirationDate xmlns="http://schemas.microsoft.com/sharepoint/v3" xsi:nil="true"/>
  </documentManagement>
</p:properties>
</file>

<file path=customXml/itemProps1.xml><?xml version="1.0" encoding="utf-8"?>
<ds:datastoreItem xmlns:ds="http://schemas.openxmlformats.org/officeDocument/2006/customXml" ds:itemID="{E186D4A1-0F80-4E7C-AA03-72FD920E4BC1}">
  <ds:schemaRefs>
    <ds:schemaRef ds:uri="http://schemas.microsoft.com/sharepoint/v3/contenttype/forms"/>
  </ds:schemaRefs>
</ds:datastoreItem>
</file>

<file path=customXml/itemProps2.xml><?xml version="1.0" encoding="utf-8"?>
<ds:datastoreItem xmlns:ds="http://schemas.openxmlformats.org/officeDocument/2006/customXml" ds:itemID="{8C3092B8-99E0-4D5E-A9A1-F5F55CF13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2f6fb8-bde5-4acc-8219-3bdfd0d6dd64"/>
    <ds:schemaRef ds:uri="93dc234a-e45f-4d1a-a6ee-96464a41fb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C714D6-A6AC-43E3-8F13-3C61A3FDE7D7}">
  <ds:schemaRefs>
    <ds:schemaRef ds:uri="http://schemas.microsoft.com/office/2006/metadata/properties"/>
    <ds:schemaRef ds:uri="http://schemas.microsoft.com/office/infopath/2007/PartnerControls"/>
    <ds:schemaRef ds:uri="http://schemas.microsoft.com/sharepoint/v3"/>
    <ds:schemaRef ds:uri="93dc234a-e45f-4d1a-a6ee-96464a41fb40"/>
    <ds:schemaRef ds:uri="582f6fb8-bde5-4acc-8219-3bdfd0d6dd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Lisez-moi</vt:lpstr>
      <vt:lpstr>Mât</vt:lpstr>
      <vt:lpstr>Luminaire</vt:lpstr>
      <vt:lpstr>Photovoltaïque</vt:lpstr>
      <vt:lpstr>Résultats</vt:lpstr>
      <vt:lpstr>Calculs</vt:lpstr>
      <vt:lpstr>FE et Ratios</vt:lpstr>
      <vt:lpstr>Listes</vt:lpstr>
      <vt:lpstr>Plastique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Aurélien RICARD</dc:creator>
  <cp:lastModifiedBy>Pierre RUDEL</cp:lastModifiedBy>
  <dcterms:created xsi:type="dcterms:W3CDTF">2015-06-05T18:17:20Z</dcterms:created>
  <dcterms:modified xsi:type="dcterms:W3CDTF">2024-09-10T14:29:12Z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0x0101009BA7D22E2F1DC740870E65B3BE4D1C23</vt:lpwstr>
  </property>
</Properties>
</file>